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PL\COMISSÃO 017-S - JULHO.2021\7 - LICITAÇÕES 2025\PREGÃO\HORAS MÁQUINAS\"/>
    </mc:Choice>
  </mc:AlternateContent>
  <xr:revisionPtr revIDLastSave="0" documentId="8_{22B845D0-EE33-4E92-B603-8B1C532F1396}" xr6:coauthVersionLast="47" xr6:coauthVersionMax="47" xr10:uidLastSave="{00000000-0000-0000-0000-000000000000}"/>
  <bookViews>
    <workbookView xWindow="3225" yWindow="3210" windowWidth="21600" windowHeight="11385" xr2:uid="{00000000-000D-0000-FFFF-FFFF00000000}"/>
  </bookViews>
  <sheets>
    <sheet name="CURVA ABC" sheetId="3" r:id="rId1"/>
    <sheet name="PLANILHA" sheetId="1" r:id="rId2"/>
    <sheet name="Planilha1" sheetId="2" r:id="rId3"/>
  </sheets>
  <definedNames>
    <definedName name="_xlnm._FilterDatabase" localSheetId="0" hidden="1">'CURVA ABC'!$B$3:$K$3</definedName>
    <definedName name="_xlnm._FilterDatabase" localSheetId="1" hidden="1">PLANILHA!$B$38:$K$38</definedName>
    <definedName name="_xlnm.Print_Area" localSheetId="0">'CURVA ABC'!#REF!</definedName>
    <definedName name="_xlnm.Print_Area" localSheetId="1">PLANILHA!$B$2:$J$24</definedName>
  </definedNames>
  <calcPr calcId="181029"/>
</workbook>
</file>

<file path=xl/calcChain.xml><?xml version="1.0" encoding="utf-8"?>
<calcChain xmlns="http://schemas.openxmlformats.org/spreadsheetml/2006/main">
  <c r="H16" i="3" l="1"/>
  <c r="H14" i="3"/>
  <c r="H20" i="3"/>
  <c r="J20" i="3" s="1"/>
  <c r="H21" i="1"/>
  <c r="H22" i="1"/>
  <c r="H23" i="1"/>
  <c r="H4" i="3"/>
  <c r="I4" i="3"/>
  <c r="J4" i="3" s="1"/>
  <c r="H5" i="3"/>
  <c r="I5" i="3"/>
  <c r="J5" i="3"/>
  <c r="H6" i="3"/>
  <c r="J6" i="3" s="1"/>
  <c r="I6" i="3"/>
  <c r="H7" i="3"/>
  <c r="J7" i="3" s="1"/>
  <c r="I7" i="3"/>
  <c r="H8" i="3"/>
  <c r="I8" i="3"/>
  <c r="H9" i="3"/>
  <c r="J9" i="3" s="1"/>
  <c r="I9" i="3"/>
  <c r="H10" i="3"/>
  <c r="J10" i="3" s="1"/>
  <c r="I10" i="3"/>
  <c r="H11" i="3"/>
  <c r="J11" i="3" s="1"/>
  <c r="I11" i="3"/>
  <c r="H12" i="3"/>
  <c r="I12" i="3"/>
  <c r="H13" i="3"/>
  <c r="J13" i="3" s="1"/>
  <c r="I13" i="3"/>
  <c r="I14" i="3"/>
  <c r="J14" i="3"/>
  <c r="H15" i="3"/>
  <c r="J15" i="3" s="1"/>
  <c r="I15" i="3"/>
  <c r="I16" i="3"/>
  <c r="H17" i="3"/>
  <c r="J17" i="3" s="1"/>
  <c r="I17" i="3"/>
  <c r="H18" i="3"/>
  <c r="I18" i="3"/>
  <c r="H19" i="3"/>
  <c r="I19" i="3"/>
  <c r="J19" i="3"/>
  <c r="I20" i="3"/>
  <c r="K19" i="1"/>
  <c r="K12" i="1"/>
  <c r="K13" i="1"/>
  <c r="K14" i="1"/>
  <c r="K15" i="1"/>
  <c r="K16" i="1"/>
  <c r="K17" i="1"/>
  <c r="K18" i="1"/>
  <c r="K11" i="1"/>
  <c r="K10" i="1"/>
  <c r="K9" i="1"/>
  <c r="K8" i="1"/>
  <c r="K7" i="1"/>
  <c r="K6" i="1"/>
  <c r="H13" i="1"/>
  <c r="O21" i="1"/>
  <c r="O22" i="1"/>
  <c r="O23" i="1"/>
  <c r="N27" i="1"/>
  <c r="O27" i="1" s="1"/>
  <c r="J16" i="3" l="1"/>
  <c r="J18" i="3"/>
  <c r="J12" i="3"/>
  <c r="J8" i="3"/>
  <c r="H6" i="1"/>
  <c r="H30" i="1"/>
  <c r="H8" i="1"/>
  <c r="H16" i="1"/>
  <c r="J21" i="3" l="1"/>
  <c r="K21" i="3" s="1"/>
  <c r="H11" i="1"/>
  <c r="Q31" i="1" s="1"/>
  <c r="H10" i="1"/>
  <c r="K20" i="3" l="1"/>
  <c r="K9" i="3"/>
  <c r="K6" i="3"/>
  <c r="K4" i="3"/>
  <c r="M4" i="3" s="1"/>
  <c r="K5" i="3"/>
  <c r="K17" i="3"/>
  <c r="K14" i="3"/>
  <c r="K11" i="3"/>
  <c r="K7" i="3"/>
  <c r="K18" i="3"/>
  <c r="K16" i="3"/>
  <c r="K12" i="3"/>
  <c r="K15" i="3"/>
  <c r="K8" i="3"/>
  <c r="K19" i="3"/>
  <c r="K13" i="3"/>
  <c r="K10" i="3"/>
  <c r="H17" i="1"/>
  <c r="B28" i="2"/>
  <c r="E27" i="2"/>
  <c r="D23" i="2"/>
  <c r="D18" i="2"/>
  <c r="D19" i="2" s="1"/>
  <c r="D17" i="2"/>
  <c r="C17" i="2"/>
  <c r="C18" i="2" s="1"/>
  <c r="H19" i="1"/>
  <c r="O16" i="1"/>
  <c r="M5" i="3" l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Q16" i="1"/>
  <c r="H18" i="1"/>
  <c r="T18" i="1"/>
  <c r="I18" i="1" s="1"/>
  <c r="H7" i="1"/>
  <c r="H9" i="1"/>
  <c r="H12" i="1"/>
  <c r="H14" i="1"/>
  <c r="H15" i="1"/>
  <c r="J18" i="1" l="1"/>
  <c r="Q9" i="1"/>
  <c r="P9" i="1"/>
  <c r="H29" i="1"/>
  <c r="X20" i="1" l="1"/>
  <c r="S22" i="1"/>
  <c r="S16" i="1"/>
  <c r="S12" i="1"/>
  <c r="S6" i="1"/>
  <c r="T6" i="1" s="1"/>
  <c r="S9" i="1"/>
  <c r="T9" i="1" s="1"/>
  <c r="I9" i="1" s="1"/>
  <c r="S23" i="1"/>
  <c r="S13" i="1"/>
  <c r="S10" i="1"/>
  <c r="T10" i="1" s="1"/>
  <c r="S17" i="1"/>
  <c r="S7" i="1"/>
  <c r="T7" i="1" s="1"/>
  <c r="I7" i="1" s="1"/>
  <c r="S11" i="1"/>
  <c r="S21" i="1"/>
  <c r="S8" i="1"/>
  <c r="T8" i="1" s="1"/>
  <c r="I8" i="1" s="1"/>
  <c r="S19" i="1" l="1"/>
  <c r="T19" i="1" s="1"/>
  <c r="I19" i="1" s="1"/>
  <c r="J19" i="1" s="1"/>
  <c r="T16" i="1"/>
  <c r="I16" i="1" s="1"/>
  <c r="J16" i="1" s="1"/>
  <c r="T12" i="1"/>
  <c r="I12" i="1" s="1"/>
  <c r="T11" i="1"/>
  <c r="I11" i="1" s="1"/>
  <c r="U10" i="1"/>
  <c r="I10" i="1"/>
  <c r="I6" i="1"/>
  <c r="J6" i="1" s="1"/>
  <c r="U6" i="1"/>
  <c r="T17" i="1"/>
  <c r="I17" i="1" s="1"/>
  <c r="J17" i="1" s="1"/>
  <c r="T13" i="1"/>
  <c r="S14" i="1"/>
  <c r="Q22" i="1"/>
  <c r="T22" i="1" s="1"/>
  <c r="I22" i="1" s="1"/>
  <c r="Q21" i="1"/>
  <c r="T21" i="1" s="1"/>
  <c r="I21" i="1" s="1"/>
  <c r="X19" i="1" l="1"/>
  <c r="X18" i="1"/>
  <c r="X13" i="1"/>
  <c r="X16" i="1"/>
  <c r="J12" i="1"/>
  <c r="V12" i="1"/>
  <c r="X10" i="1"/>
  <c r="V6" i="1"/>
  <c r="T14" i="1"/>
  <c r="I14" i="1" s="1"/>
  <c r="J14" i="1" s="1"/>
  <c r="S15" i="1"/>
  <c r="Q23" i="1"/>
  <c r="T23" i="1" s="1"/>
  <c r="I23" i="1" s="1"/>
  <c r="V23" i="1" s="1"/>
  <c r="J9" i="1"/>
  <c r="X6" i="1" l="1"/>
  <c r="X14" i="1"/>
  <c r="X7" i="1"/>
  <c r="X11" i="1"/>
  <c r="T15" i="1"/>
  <c r="I15" i="1" s="1"/>
  <c r="U23" i="1"/>
  <c r="J23" i="1"/>
  <c r="J21" i="1"/>
  <c r="U21" i="1"/>
  <c r="U22" i="1"/>
  <c r="U7" i="1"/>
  <c r="U8" i="1"/>
  <c r="U9" i="1"/>
  <c r="U11" i="1"/>
  <c r="U12" i="1"/>
  <c r="U13" i="1"/>
  <c r="U17" i="1"/>
  <c r="J22" i="1"/>
  <c r="J7" i="1"/>
  <c r="J8" i="1"/>
  <c r="J10" i="1"/>
  <c r="J11" i="1"/>
  <c r="J13" i="1"/>
  <c r="V22" i="1"/>
  <c r="V21" i="1"/>
  <c r="V7" i="1"/>
  <c r="V8" i="1"/>
  <c r="V9" i="1"/>
  <c r="V10" i="1"/>
  <c r="V11" i="1"/>
  <c r="V13" i="1"/>
  <c r="V17" i="1"/>
  <c r="J15" i="1" l="1"/>
  <c r="J24" i="1" s="1"/>
  <c r="L13" i="1" s="1"/>
  <c r="X9" i="1"/>
  <c r="X17" i="1"/>
  <c r="X12" i="1"/>
  <c r="X15" i="1"/>
  <c r="X5" i="1"/>
  <c r="X21" i="1"/>
  <c r="X8" i="1"/>
  <c r="U24" i="1"/>
  <c r="U20" i="1"/>
  <c r="V24" i="1"/>
  <c r="L11" i="1" l="1"/>
  <c r="L18" i="1"/>
  <c r="L19" i="1"/>
  <c r="L17" i="1"/>
  <c r="L16" i="1"/>
  <c r="L6" i="1"/>
  <c r="L14" i="1"/>
  <c r="L9" i="1"/>
  <c r="L12" i="1"/>
  <c r="L15" i="1"/>
  <c r="L8" i="1"/>
  <c r="L10" i="1"/>
  <c r="L7" i="1"/>
  <c r="Y18" i="1"/>
  <c r="Y8" i="1"/>
  <c r="Y9" i="1"/>
  <c r="Y5" i="1"/>
  <c r="Y16" i="1"/>
  <c r="Y6" i="1"/>
  <c r="Y19" i="1"/>
  <c r="Y20" i="1"/>
  <c r="Y13" i="1"/>
  <c r="Y14" i="1"/>
  <c r="Y7" i="1"/>
  <c r="Y11" i="1"/>
  <c r="Y10" i="1"/>
  <c r="Y17" i="1"/>
  <c r="Y21" i="1"/>
  <c r="X23" i="1"/>
  <c r="Y15" i="1"/>
  <c r="Y12" i="1"/>
  <c r="Y22" i="1"/>
  <c r="AA20" i="1"/>
  <c r="AA11" i="1"/>
  <c r="AA22" i="1"/>
  <c r="AA10" i="1"/>
  <c r="AA21" i="1"/>
  <c r="AA8" i="1"/>
  <c r="AA9" i="1"/>
  <c r="AA7" i="1"/>
  <c r="AA6" i="1"/>
  <c r="AA23" i="1"/>
  <c r="AA12" i="1"/>
  <c r="AA13" i="1"/>
  <c r="AA17" i="1"/>
  <c r="Y23" i="1" l="1"/>
  <c r="U30" i="1"/>
</calcChain>
</file>

<file path=xl/sharedStrings.xml><?xml version="1.0" encoding="utf-8"?>
<sst xmlns="http://schemas.openxmlformats.org/spreadsheetml/2006/main" count="234" uniqueCount="125">
  <si>
    <r>
      <rPr>
        <b/>
        <sz val="11"/>
        <rFont val="Calibri"/>
        <family val="1"/>
      </rPr>
      <t>TOTAL GERAL</t>
    </r>
  </si>
  <si>
    <t>Sicro HP</t>
  </si>
  <si>
    <t>Valor</t>
  </si>
  <si>
    <t>BDI %</t>
  </si>
  <si>
    <t>%</t>
  </si>
  <si>
    <r>
      <rPr>
        <b/>
        <sz val="12.5"/>
        <rFont val="Calibri"/>
        <family val="1"/>
      </rPr>
      <t xml:space="preserve">PLANILHA ORÇAMENTÁRIA PARA PRESTAÇÃO DE SERVIÇOS DE
LOCAÇÃO DE EQUIPAMENTOS PARA ATENDIMENTO AOS MUNICÍPIOS DO ESTÁDO DO ESPÍRITO SANTO                             </t>
    </r>
    <r>
      <rPr>
        <b/>
        <vertAlign val="subscript"/>
        <sz val="9.5"/>
        <rFont val="Calibri"/>
        <family val="1"/>
      </rPr>
      <t xml:space="preserve">SICRO-ES julho 2022
</t>
    </r>
    <r>
      <rPr>
        <b/>
        <sz val="12.5"/>
        <rFont val="Calibri"/>
        <family val="1"/>
      </rPr>
      <t xml:space="preserve">EMERGENCIA E CALAMIDADES                                                </t>
    </r>
    <r>
      <rPr>
        <b/>
        <vertAlign val="superscript"/>
        <sz val="9.5"/>
        <rFont val="Calibri"/>
        <family val="1"/>
      </rPr>
      <t xml:space="preserve">Referencias de custo: </t>
    </r>
    <r>
      <rPr>
        <b/>
        <vertAlign val="superscript"/>
        <sz val="9.5"/>
        <rFont val="Calibri"/>
        <family val="2"/>
      </rPr>
      <t xml:space="preserve"> </t>
    </r>
    <r>
      <rPr>
        <b/>
        <vertAlign val="subscript"/>
        <sz val="9.5"/>
        <rFont val="Calibri"/>
        <family val="2"/>
      </rPr>
      <t>DER-ES jan. 2022</t>
    </r>
    <r>
      <rPr>
        <b/>
        <vertAlign val="subscript"/>
        <sz val="9.5"/>
        <rFont val="Calibri"/>
        <family val="1"/>
      </rPr>
      <t xml:space="preserve">
</t>
    </r>
    <r>
      <rPr>
        <b/>
        <sz val="9.5"/>
        <rFont val="Calibri"/>
        <family val="1"/>
      </rPr>
      <t>BDI:  15,57%</t>
    </r>
  </si>
  <si>
    <t>PLANILHA ORÇAMENTÁRIA PARA PRESTAÇÃO DE SERVIÇOS DE
LOCAÇÃO DE EQUIPAMENTOS PARA ATENDIMENTO AOS MUNICÍPIOS DO ESTÁDO DO ESPÍRITO SANTO</t>
  </si>
  <si>
    <t>Reajustamento Planilha Base - Fonte DNIT</t>
  </si>
  <si>
    <t>Índices</t>
  </si>
  <si>
    <t>Grupo de Serviços</t>
  </si>
  <si>
    <t>Reajuste</t>
  </si>
  <si>
    <t>Indice Nacional de Custo da Construção Civil</t>
  </si>
  <si>
    <t>DER 30109</t>
  </si>
  <si>
    <t>HORA*</t>
  </si>
  <si>
    <t>2.2</t>
  </si>
  <si>
    <t>2.3</t>
  </si>
  <si>
    <t>Retroescavadeira de pneus - 58 kW</t>
  </si>
  <si>
    <t>Minicarregadeira de pneus - 45,50 kW</t>
  </si>
  <si>
    <t>SICRO E9096</t>
  </si>
  <si>
    <t>Automóvel Utilitário - GM/S 10 cabine dupla, ou equivalente</t>
  </si>
  <si>
    <t>SICRO E9540</t>
  </si>
  <si>
    <t>Trator sobre esteiras com lâmina - 127 kW</t>
  </si>
  <si>
    <t>DER-RD 30102</t>
  </si>
  <si>
    <t>DER-RD  41544</t>
  </si>
  <si>
    <t>DER-RD  41546</t>
  </si>
  <si>
    <t>DER-RD  41547</t>
  </si>
  <si>
    <t>DER-RD 30085</t>
  </si>
  <si>
    <t>Moto serra 15" (gas.)</t>
  </si>
  <si>
    <t>DER-RD 30080</t>
  </si>
  <si>
    <t>Conjunto moto bomba diam. 4"</t>
  </si>
  <si>
    <t>Caminhão Comboio (DNIT E9509)</t>
  </si>
  <si>
    <t>Cód.Comp.</t>
  </si>
  <si>
    <t>Índice</t>
  </si>
  <si>
    <t>SICRO</t>
  </si>
  <si>
    <t>E9509</t>
  </si>
  <si>
    <t>Mês Ref.</t>
  </si>
  <si>
    <t>Aquisição</t>
  </si>
  <si>
    <t>Depreciação</t>
  </si>
  <si>
    <t>Juros</t>
  </si>
  <si>
    <t>Manutenção</t>
  </si>
  <si>
    <t>Mat.na Op.</t>
  </si>
  <si>
    <t>Óleo Diesel</t>
  </si>
  <si>
    <t>Operador ec</t>
  </si>
  <si>
    <t>Oport.Capit.</t>
  </si>
  <si>
    <t>Seg. e Imp.</t>
  </si>
  <si>
    <t>M.d.o</t>
  </si>
  <si>
    <t>CHP</t>
  </si>
  <si>
    <t>CHI</t>
  </si>
  <si>
    <t>Horas Produtivas</t>
  </si>
  <si>
    <t>Horas Improdutivas</t>
  </si>
  <si>
    <t>TOTAL HPM+HIM</t>
  </si>
  <si>
    <t>Horas/dia</t>
  </si>
  <si>
    <t>Dias/sem.</t>
  </si>
  <si>
    <t>Dias/mês</t>
  </si>
  <si>
    <t>Horas/mês</t>
  </si>
  <si>
    <t>minimizado</t>
  </si>
  <si>
    <t>44 horas úteis semanais:</t>
  </si>
  <si>
    <t>Produtiva</t>
  </si>
  <si>
    <t>hs/semana</t>
  </si>
  <si>
    <t>semana</t>
  </si>
  <si>
    <t>horas/dia</t>
  </si>
  <si>
    <t>dias/sem.</t>
  </si>
  <si>
    <t>horas/sem.</t>
  </si>
  <si>
    <t>=&gt;</t>
  </si>
  <si>
    <t>Total de horas úteis/mês</t>
  </si>
  <si>
    <t>Escavadeira hidráulica sobre esteira com capacidade de 0,4 m³ - 64 kW</t>
  </si>
  <si>
    <t xml:space="preserve">Caminhão tanque com capacidade de 13.000 l - 188 kW (caminhão pipa) </t>
  </si>
  <si>
    <t xml:space="preserve">Motoniveladora 93 Kw </t>
  </si>
  <si>
    <t xml:space="preserve">Vácuo SEWER JET e equi. Combinado de jato à alta pressão </t>
  </si>
  <si>
    <t xml:space="preserve">Caminhão basculante com capacidade de 10 m³ - 188 kW </t>
  </si>
  <si>
    <t>Carregadeira de pneus com capacidade de 1,72m3 - 113Kw</t>
  </si>
  <si>
    <t>1.1</t>
  </si>
  <si>
    <t>1.2</t>
  </si>
  <si>
    <t>1.3</t>
  </si>
  <si>
    <t>1.4</t>
  </si>
  <si>
    <t>1.5</t>
  </si>
  <si>
    <t>1.6</t>
  </si>
  <si>
    <t>1.7</t>
  </si>
  <si>
    <t>1.9</t>
  </si>
  <si>
    <t>1.10</t>
  </si>
  <si>
    <t>1.11</t>
  </si>
  <si>
    <t>1.12</t>
  </si>
  <si>
    <t>1.13</t>
  </si>
  <si>
    <t>1.14</t>
  </si>
  <si>
    <t>2.1</t>
  </si>
  <si>
    <t>SICRO E9524</t>
  </si>
  <si>
    <t>SICRO E9581</t>
  </si>
  <si>
    <t>SICRO E9579</t>
  </si>
  <si>
    <t>SICRO E9017</t>
  </si>
  <si>
    <t>SICRO E9680</t>
  </si>
  <si>
    <t>SICRO E9110</t>
  </si>
  <si>
    <t>SICRO E9575</t>
  </si>
  <si>
    <t>SICRO E9526</t>
  </si>
  <si>
    <t>ITENS</t>
  </si>
  <si>
    <t>CÓDIGO</t>
  </si>
  <si>
    <t>DESCRIÇÃO DOS SERVIÇOS</t>
  </si>
  <si>
    <t>UND.</t>
  </si>
  <si>
    <t>EQUIPAMENTOS</t>
  </si>
  <si>
    <t>MOBILIZAÇÃO E DESMOBILIZAÇÃO</t>
  </si>
  <si>
    <t>Mobilização e Desmobilização (Carregadeira de rodas ref. Caterpillar modelo 950 H(3,10 m³) (cab+ar)) + Motoniveladora Caterpillar modelo 120K (cab+ar+riper) + Escavadeira</t>
  </si>
  <si>
    <t>Mobilização e Desmobilização (Caminhão Basculante Caminhão Tanque L 1319/48 PBT=12,9t (6.000L)</t>
  </si>
  <si>
    <t>Mobilização e Desmobilização( Vácuo SEWER JET e equi. Combinado de jato à alta pressão) + PIPA</t>
  </si>
  <si>
    <r>
      <rPr>
        <b/>
        <sz val="10"/>
        <rFont val="Arial"/>
        <family val="2"/>
      </rPr>
      <t>P. UNITÁRIO
(R$)</t>
    </r>
  </si>
  <si>
    <r>
      <rPr>
        <b/>
        <sz val="10"/>
        <rFont val="Arial"/>
        <family val="2"/>
      </rPr>
      <t>PREÇO TOTAL
(R$)</t>
    </r>
  </si>
  <si>
    <t>1.8</t>
  </si>
  <si>
    <t>QUANT.
EQUIP</t>
  </si>
  <si>
    <t>QUANT.
MINIMA</t>
  </si>
  <si>
    <t>QUANT.
MAXIMA</t>
  </si>
  <si>
    <t>Escavadeira hidráulica sobre esteiras com caçamba com capacidade de 1,56 m³</t>
  </si>
  <si>
    <t>Caminhão basculante com caçamba estanque com capacidade de 14 m³ -188 kW</t>
  </si>
  <si>
    <t>%. Individual</t>
  </si>
  <si>
    <t>quant. mínimas</t>
  </si>
  <si>
    <t>CURVA ABC PARA PRESTAÇÃO DE SERVIÇOS DE
LOCAÇÃO DE EQUIPAMENTOS PARA ATENDIMENTO AOS MUNICÍPIOS DO ESTÁDO DO ESPÍRITO SANTO</t>
  </si>
  <si>
    <t>% Percentual</t>
  </si>
  <si>
    <t>A</t>
  </si>
  <si>
    <t>B</t>
  </si>
  <si>
    <t>C</t>
  </si>
  <si>
    <t>FAIXA ABC</t>
  </si>
  <si>
    <t>FAIXA %</t>
  </si>
  <si>
    <t xml:space="preserve">TOTAL </t>
  </si>
  <si>
    <t xml:space="preserve">Caminhão tanque com capacidade de 13.000 l - 188 kW (caminhão pipa c/ ajudantes) </t>
  </si>
  <si>
    <t>Composição
Ref. SICRO E9680</t>
  </si>
  <si>
    <t>Mobilização e Desmobilização (Vácuo SEWER JET e equi. Combinado de jato à alta pressão) + PIPA</t>
  </si>
  <si>
    <r>
      <t xml:space="preserve">Referências de Custo:
SICRO-ES OUT. 2024
DER-ES JAN. 2024
</t>
    </r>
    <r>
      <rPr>
        <b/>
        <sz val="10"/>
        <color rgb="FF000000"/>
        <rFont val="Times New Roman"/>
        <family val="1"/>
      </rPr>
      <t>BDI:  15,57% 
Atualizado (INCC) DNIT NOV.2024</t>
    </r>
    <r>
      <rPr>
        <sz val="10"/>
        <color rgb="FF000000"/>
        <rFont val="Times New Roman"/>
        <family val="1"/>
      </rPr>
      <t xml:space="preserve">     </t>
    </r>
  </si>
  <si>
    <r>
      <t xml:space="preserve">Referências de Custo:
SICRO-ES OUT. 2024
DER-ES JAN. 2024
</t>
    </r>
    <r>
      <rPr>
        <b/>
        <sz val="10"/>
        <color rgb="FF000000"/>
        <rFont val="Times New Roman"/>
        <family val="1"/>
      </rPr>
      <t xml:space="preserve">BDI:  15,57% </t>
    </r>
    <r>
      <rPr>
        <sz val="10"/>
        <color rgb="FF000000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 xml:space="preserve">Atualizado (INCC) DNIT NOV.2024     </t>
    </r>
    <r>
      <rPr>
        <sz val="10"/>
        <color rgb="FF00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</si>
</sst>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-* #,##0.000_-;\-* #,##0.000_-;_-* &quot;-&quot;??_-;_-@_-"/>
    <numFmt numFmtId="167" formatCode="mmm/yyyy"/>
    <numFmt numFmtId="168" formatCode="0.0000000"/>
    <numFmt numFmtId="169" formatCode="0.000"/>
    <numFmt numFmtId="170" formatCode="0.0%"/>
    <numFmt numFmtId="171" formatCode="0.0000"/>
  </numFmts>
  <fonts count="3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.5"/>
      <name val="Calibri"/>
      <family val="1"/>
    </font>
    <font>
      <b/>
      <vertAlign val="subscript"/>
      <sz val="9.5"/>
      <name val="Calibri"/>
      <family val="1"/>
    </font>
    <font>
      <b/>
      <vertAlign val="superscript"/>
      <sz val="9.5"/>
      <name val="Calibri"/>
      <family val="1"/>
    </font>
    <font>
      <b/>
      <sz val="9.5"/>
      <name val="Calibri"/>
      <family val="1"/>
    </font>
    <font>
      <b/>
      <sz val="11"/>
      <name val="Calibri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1"/>
    </font>
    <font>
      <b/>
      <vertAlign val="subscript"/>
      <sz val="9.5"/>
      <name val="Calibri"/>
      <family val="2"/>
    </font>
    <font>
      <b/>
      <vertAlign val="superscript"/>
      <sz val="9.5"/>
      <name val="Calibri"/>
      <family val="2"/>
    </font>
    <font>
      <sz val="10"/>
      <color rgb="FF000000"/>
      <name val="Times New Roman"/>
      <family val="1"/>
    </font>
    <font>
      <sz val="8.5"/>
      <color rgb="FFFF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8"/>
      <name val="Times New Roman"/>
      <family val="1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3B5C1"/>
      </patternFill>
    </fill>
    <fill>
      <patternFill patternType="solid">
        <fgColor rgb="FF7995B7"/>
      </patternFill>
    </fill>
    <fill>
      <patternFill patternType="solid">
        <fgColor rgb="FF76ACBA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5" fillId="0" borderId="0">
      <alignment horizontal="left" vertical="top"/>
    </xf>
  </cellStyleXfs>
  <cellXfs count="209">
    <xf numFmtId="0" fontId="0" fillId="0" borderId="0" xfId="0" applyAlignment="1">
      <alignment horizontal="left" vertical="top"/>
    </xf>
    <xf numFmtId="43" fontId="0" fillId="0" borderId="0" xfId="1" applyFont="1" applyAlignment="1">
      <alignment horizontal="left" vertical="top"/>
    </xf>
    <xf numFmtId="43" fontId="0" fillId="0" borderId="0" xfId="0" applyNumberFormat="1" applyAlignment="1">
      <alignment horizontal="left" vertical="top"/>
    </xf>
    <xf numFmtId="43" fontId="9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2" fontId="14" fillId="0" borderId="2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center" wrapText="1"/>
    </xf>
    <xf numFmtId="4" fontId="15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top"/>
    </xf>
    <xf numFmtId="4" fontId="8" fillId="0" borderId="7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top"/>
    </xf>
    <xf numFmtId="2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16" fillId="5" borderId="0" xfId="0" applyFont="1" applyFill="1" applyAlignment="1">
      <alignment horizontal="center" vertical="center"/>
    </xf>
    <xf numFmtId="17" fontId="18" fillId="5" borderId="8" xfId="3" applyNumberFormat="1" applyFont="1" applyFill="1" applyBorder="1" applyAlignment="1">
      <alignment horizontal="center" vertical="center"/>
    </xf>
    <xf numFmtId="17" fontId="17" fillId="5" borderId="8" xfId="3" applyNumberFormat="1" applyFont="1" applyFill="1" applyBorder="1" applyAlignment="1">
      <alignment horizontal="center" vertical="center"/>
    </xf>
    <xf numFmtId="43" fontId="17" fillId="0" borderId="8" xfId="2" applyFont="1" applyFill="1" applyBorder="1" applyAlignment="1">
      <alignment horizontal="center" vertical="center"/>
    </xf>
    <xf numFmtId="166" fontId="19" fillId="0" borderId="8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166" fontId="20" fillId="5" borderId="8" xfId="3" applyNumberFormat="1" applyFont="1" applyFill="1" applyBorder="1" applyAlignment="1">
      <alignment vertical="center"/>
    </xf>
    <xf numFmtId="166" fontId="19" fillId="0" borderId="8" xfId="3" applyNumberFormat="1" applyFont="1" applyFill="1" applyBorder="1" applyAlignment="1">
      <alignment vertical="center"/>
    </xf>
    <xf numFmtId="166" fontId="19" fillId="0" borderId="8" xfId="2" applyNumberFormat="1" applyFont="1" applyFill="1" applyBorder="1" applyAlignment="1">
      <alignment vertical="center"/>
    </xf>
    <xf numFmtId="4" fontId="0" fillId="0" borderId="0" xfId="0" applyNumberFormat="1" applyAlignment="1">
      <alignment vertical="top"/>
    </xf>
    <xf numFmtId="0" fontId="24" fillId="0" borderId="11" xfId="0" applyFont="1" applyBorder="1"/>
    <xf numFmtId="0" fontId="24" fillId="0" borderId="0" xfId="0" applyFont="1"/>
    <xf numFmtId="0" fontId="24" fillId="0" borderId="15" xfId="0" applyFont="1" applyBorder="1"/>
    <xf numFmtId="0" fontId="24" fillId="0" borderId="1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/>
    <xf numFmtId="168" fontId="24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right"/>
    </xf>
    <xf numFmtId="1" fontId="24" fillId="0" borderId="8" xfId="0" applyNumberFormat="1" applyFont="1" applyBorder="1" applyAlignment="1">
      <alignment horizontal="center"/>
    </xf>
    <xf numFmtId="170" fontId="22" fillId="0" borderId="8" xfId="4" applyNumberFormat="1" applyFont="1" applyFill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center"/>
    </xf>
    <xf numFmtId="0" fontId="24" fillId="0" borderId="17" xfId="0" applyFont="1" applyBorder="1"/>
    <xf numFmtId="0" fontId="24" fillId="0" borderId="9" xfId="0" applyFont="1" applyBorder="1"/>
    <xf numFmtId="0" fontId="24" fillId="0" borderId="18" xfId="0" applyFont="1" applyBorder="1" applyAlignment="1">
      <alignment horizontal="center"/>
    </xf>
    <xf numFmtId="4" fontId="26" fillId="0" borderId="17" xfId="0" applyNumberFormat="1" applyFont="1" applyBorder="1"/>
    <xf numFmtId="10" fontId="26" fillId="0" borderId="18" xfId="4" applyNumberFormat="1" applyFont="1" applyFill="1" applyBorder="1"/>
    <xf numFmtId="0" fontId="24" fillId="0" borderId="10" xfId="0" applyFont="1" applyBorder="1"/>
    <xf numFmtId="0" fontId="24" fillId="0" borderId="19" xfId="0" applyFont="1" applyBorder="1" applyAlignment="1">
      <alignment horizontal="center"/>
    </xf>
    <xf numFmtId="4" fontId="26" fillId="0" borderId="10" xfId="0" applyNumberFormat="1" applyFont="1" applyBorder="1"/>
    <xf numFmtId="10" fontId="26" fillId="0" borderId="19" xfId="4" applyNumberFormat="1" applyFont="1" applyFill="1" applyBorder="1"/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4" fillId="0" borderId="25" xfId="0" applyFont="1" applyBorder="1"/>
    <xf numFmtId="0" fontId="24" fillId="0" borderId="0" xfId="0" applyFont="1" applyAlignment="1">
      <alignment horizontal="center"/>
    </xf>
    <xf numFmtId="0" fontId="24" fillId="0" borderId="26" xfId="0" applyFont="1" applyBorder="1"/>
    <xf numFmtId="0" fontId="24" fillId="0" borderId="27" xfId="0" applyFont="1" applyBorder="1" applyAlignment="1">
      <alignment horizontal="left"/>
    </xf>
    <xf numFmtId="0" fontId="24" fillId="0" borderId="5" xfId="0" applyFont="1" applyBorder="1"/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4" fillId="0" borderId="27" xfId="0" quotePrefix="1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1" xfId="0" applyFont="1" applyBorder="1"/>
    <xf numFmtId="0" fontId="24" fillId="0" borderId="32" xfId="0" applyFont="1" applyBorder="1"/>
    <xf numFmtId="0" fontId="24" fillId="0" borderId="32" xfId="0" applyFont="1" applyBorder="1" applyAlignment="1">
      <alignment horizontal="center"/>
    </xf>
    <xf numFmtId="0" fontId="24" fillId="0" borderId="33" xfId="0" applyFont="1" applyBorder="1"/>
    <xf numFmtId="166" fontId="0" fillId="0" borderId="0" xfId="0" applyNumberFormat="1" applyAlignment="1">
      <alignment horizontal="left" vertical="top"/>
    </xf>
    <xf numFmtId="0" fontId="8" fillId="0" borderId="37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39" xfId="0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left" wrapText="1"/>
    </xf>
    <xf numFmtId="0" fontId="28" fillId="3" borderId="41" xfId="0" applyFont="1" applyFill="1" applyBorder="1" applyAlignment="1">
      <alignment horizontal="left" wrapText="1"/>
    </xf>
    <xf numFmtId="0" fontId="29" fillId="2" borderId="38" xfId="0" applyFont="1" applyFill="1" applyBorder="1" applyAlignment="1">
      <alignment horizontal="left" vertical="top" wrapText="1" indent="1"/>
    </xf>
    <xf numFmtId="0" fontId="29" fillId="2" borderId="1" xfId="0" applyFont="1" applyFill="1" applyBorder="1" applyAlignment="1">
      <alignment horizontal="center" vertical="top" wrapText="1"/>
    </xf>
    <xf numFmtId="0" fontId="29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right" vertical="top" wrapText="1" inden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1" fontId="30" fillId="3" borderId="40" xfId="0" applyNumberFormat="1" applyFont="1" applyFill="1" applyBorder="1" applyAlignment="1">
      <alignment horizontal="center" vertical="top" shrinkToFit="1"/>
    </xf>
    <xf numFmtId="164" fontId="28" fillId="0" borderId="40" xfId="0" applyNumberFormat="1" applyFont="1" applyBorder="1" applyAlignment="1">
      <alignment horizontal="center" vertical="top" shrinkToFit="1"/>
    </xf>
    <xf numFmtId="164" fontId="28" fillId="0" borderId="40" xfId="0" applyNumberFormat="1" applyFont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left" vertical="top" wrapText="1" inden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28" fillId="2" borderId="0" xfId="0" applyFont="1" applyFill="1" applyAlignment="1">
      <alignment horizontal="center" vertical="top" wrapText="1"/>
    </xf>
    <xf numFmtId="0" fontId="28" fillId="3" borderId="0" xfId="0" applyFont="1" applyFill="1" applyAlignment="1">
      <alignment horizontal="left" wrapText="1"/>
    </xf>
    <xf numFmtId="4" fontId="16" fillId="0" borderId="0" xfId="0" applyNumberFormat="1" applyFont="1" applyAlignment="1">
      <alignment horizontal="right" vertical="top" wrapText="1"/>
    </xf>
    <xf numFmtId="4" fontId="2" fillId="4" borderId="0" xfId="0" applyNumberFormat="1" applyFont="1" applyFill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9" fontId="16" fillId="0" borderId="0" xfId="4" applyFont="1" applyAlignment="1">
      <alignment horizontal="right" vertical="top" wrapText="1"/>
    </xf>
    <xf numFmtId="2" fontId="0" fillId="0" borderId="0" xfId="0" applyNumberFormat="1" applyAlignment="1">
      <alignment vertical="top"/>
    </xf>
    <xf numFmtId="10" fontId="16" fillId="0" borderId="0" xfId="4" applyNumberFormat="1" applyFont="1" applyBorder="1" applyAlignment="1">
      <alignment horizontal="center" vertical="top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top" wrapText="1"/>
    </xf>
    <xf numFmtId="0" fontId="28" fillId="3" borderId="47" xfId="0" applyFont="1" applyFill="1" applyBorder="1" applyAlignment="1">
      <alignment horizontal="left" wrapText="1"/>
    </xf>
    <xf numFmtId="0" fontId="28" fillId="3" borderId="8" xfId="0" applyFont="1" applyFill="1" applyBorder="1" applyAlignment="1">
      <alignment horizontal="left" wrapText="1"/>
    </xf>
    <xf numFmtId="0" fontId="0" fillId="0" borderId="0" xfId="0" applyAlignment="1">
      <alignment horizontal="center" vertical="top"/>
    </xf>
    <xf numFmtId="0" fontId="30" fillId="2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164" fontId="28" fillId="8" borderId="40" xfId="0" applyNumberFormat="1" applyFont="1" applyFill="1" applyBorder="1" applyAlignment="1">
      <alignment horizontal="center" vertical="top" shrinkToFit="1"/>
    </xf>
    <xf numFmtId="0" fontId="16" fillId="8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left" vertical="top" wrapText="1"/>
    </xf>
    <xf numFmtId="10" fontId="0" fillId="8" borderId="8" xfId="0" applyNumberFormat="1" applyFill="1" applyBorder="1" applyAlignment="1">
      <alignment horizontal="center" vertical="top"/>
    </xf>
    <xf numFmtId="4" fontId="8" fillId="8" borderId="8" xfId="0" applyNumberFormat="1" applyFont="1" applyFill="1" applyBorder="1" applyAlignment="1">
      <alignment horizontal="center" vertical="top"/>
    </xf>
    <xf numFmtId="9" fontId="0" fillId="8" borderId="8" xfId="4" applyFont="1" applyFill="1" applyBorder="1" applyAlignment="1">
      <alignment horizontal="center" vertical="top"/>
    </xf>
    <xf numFmtId="164" fontId="28" fillId="9" borderId="40" xfId="0" applyNumberFormat="1" applyFont="1" applyFill="1" applyBorder="1" applyAlignment="1">
      <alignment horizontal="center" vertical="top" shrinkToFit="1"/>
    </xf>
    <xf numFmtId="0" fontId="16" fillId="9" borderId="2" xfId="0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left" vertical="top" wrapText="1"/>
    </xf>
    <xf numFmtId="10" fontId="0" fillId="9" borderId="8" xfId="0" applyNumberFormat="1" applyFill="1" applyBorder="1" applyAlignment="1">
      <alignment horizontal="center" vertical="top"/>
    </xf>
    <xf numFmtId="4" fontId="8" fillId="9" borderId="8" xfId="0" applyNumberFormat="1" applyFont="1" applyFill="1" applyBorder="1" applyAlignment="1">
      <alignment horizontal="center" vertical="top"/>
    </xf>
    <xf numFmtId="9" fontId="0" fillId="9" borderId="8" xfId="4" applyFont="1" applyFill="1" applyBorder="1" applyAlignment="1">
      <alignment horizontal="center" vertical="top"/>
    </xf>
    <xf numFmtId="0" fontId="8" fillId="9" borderId="8" xfId="0" applyFont="1" applyFill="1" applyBorder="1" applyAlignment="1">
      <alignment horizontal="center" vertical="top"/>
    </xf>
    <xf numFmtId="164" fontId="28" fillId="10" borderId="40" xfId="0" applyNumberFormat="1" applyFont="1" applyFill="1" applyBorder="1" applyAlignment="1">
      <alignment horizontal="center" vertical="top" shrinkToFit="1"/>
    </xf>
    <xf numFmtId="0" fontId="16" fillId="10" borderId="2" xfId="0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left" vertical="top" wrapText="1"/>
    </xf>
    <xf numFmtId="10" fontId="0" fillId="10" borderId="8" xfId="0" applyNumberFormat="1" applyFill="1" applyBorder="1" applyAlignment="1">
      <alignment horizontal="center" vertical="top"/>
    </xf>
    <xf numFmtId="4" fontId="8" fillId="10" borderId="8" xfId="0" applyNumberFormat="1" applyFont="1" applyFill="1" applyBorder="1" applyAlignment="1">
      <alignment horizontal="center" vertical="top"/>
    </xf>
    <xf numFmtId="9" fontId="0" fillId="10" borderId="8" xfId="4" applyFont="1" applyFill="1" applyBorder="1" applyAlignment="1">
      <alignment horizontal="center" vertical="top"/>
    </xf>
    <xf numFmtId="164" fontId="28" fillId="10" borderId="40" xfId="0" applyNumberFormat="1" applyFont="1" applyFill="1" applyBorder="1" applyAlignment="1">
      <alignment horizontal="center" vertical="center" shrinkToFit="1"/>
    </xf>
    <xf numFmtId="0" fontId="16" fillId="10" borderId="2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top"/>
    </xf>
    <xf numFmtId="0" fontId="16" fillId="10" borderId="2" xfId="0" applyFont="1" applyFill="1" applyBorder="1" applyAlignment="1">
      <alignment horizontal="right" vertical="top" wrapText="1" indent="1"/>
    </xf>
    <xf numFmtId="164" fontId="28" fillId="10" borderId="48" xfId="0" applyNumberFormat="1" applyFont="1" applyFill="1" applyBorder="1" applyAlignment="1">
      <alignment horizontal="center" vertical="center" shrinkToFi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left" vertical="top" wrapText="1"/>
    </xf>
    <xf numFmtId="10" fontId="0" fillId="10" borderId="28" xfId="0" applyNumberFormat="1" applyFill="1" applyBorder="1" applyAlignment="1">
      <alignment horizontal="center" vertical="top"/>
    </xf>
    <xf numFmtId="0" fontId="8" fillId="10" borderId="28" xfId="0" applyFont="1" applyFill="1" applyBorder="1" applyAlignment="1">
      <alignment horizontal="center" vertical="top"/>
    </xf>
    <xf numFmtId="9" fontId="0" fillId="10" borderId="28" xfId="4" applyFont="1" applyFill="1" applyBorder="1" applyAlignment="1">
      <alignment horizontal="center" vertical="top"/>
    </xf>
    <xf numFmtId="0" fontId="16" fillId="10" borderId="8" xfId="0" applyFont="1" applyFill="1" applyBorder="1" applyAlignment="1">
      <alignment horizontal="center" vertical="center" wrapText="1"/>
    </xf>
    <xf numFmtId="10" fontId="30" fillId="3" borderId="2" xfId="0" applyNumberFormat="1" applyFont="1" applyFill="1" applyBorder="1" applyAlignment="1">
      <alignment horizontal="center" wrapText="1"/>
    </xf>
    <xf numFmtId="0" fontId="17" fillId="0" borderId="8" xfId="0" applyFont="1" applyBorder="1" applyAlignment="1">
      <alignment vertical="center"/>
    </xf>
    <xf numFmtId="0" fontId="29" fillId="2" borderId="54" xfId="0" applyFont="1" applyFill="1" applyBorder="1" applyAlignment="1">
      <alignment horizontal="left" vertical="top" wrapText="1" indent="1"/>
    </xf>
    <xf numFmtId="0" fontId="28" fillId="3" borderId="55" xfId="0" applyFont="1" applyFill="1" applyBorder="1" applyAlignment="1">
      <alignment horizontal="left" wrapText="1"/>
    </xf>
    <xf numFmtId="1" fontId="28" fillId="0" borderId="55" xfId="0" applyNumberFormat="1" applyFont="1" applyBorder="1" applyAlignment="1">
      <alignment horizontal="right" vertical="center" shrinkToFit="1"/>
    </xf>
    <xf numFmtId="17" fontId="18" fillId="5" borderId="5" xfId="3" applyNumberFormat="1" applyFont="1" applyFill="1" applyBorder="1" applyAlignment="1">
      <alignment horizontal="center" vertical="center"/>
    </xf>
    <xf numFmtId="166" fontId="20" fillId="5" borderId="5" xfId="3" applyNumberFormat="1" applyFont="1" applyFill="1" applyBorder="1" applyAlignment="1">
      <alignment vertical="center"/>
    </xf>
    <xf numFmtId="0" fontId="0" fillId="0" borderId="19" xfId="0" applyBorder="1" applyAlignment="1">
      <alignment horizontal="left" vertical="top"/>
    </xf>
    <xf numFmtId="0" fontId="29" fillId="2" borderId="56" xfId="0" applyFont="1" applyFill="1" applyBorder="1" applyAlignment="1">
      <alignment horizontal="center" vertical="top" wrapText="1"/>
    </xf>
    <xf numFmtId="0" fontId="29" fillId="3" borderId="57" xfId="0" applyFont="1" applyFill="1" applyBorder="1" applyAlignment="1">
      <alignment horizontal="left" vertical="top" wrapText="1"/>
    </xf>
    <xf numFmtId="0" fontId="16" fillId="5" borderId="57" xfId="0" applyFont="1" applyFill="1" applyBorder="1" applyAlignment="1">
      <alignment horizontal="left" vertical="top" wrapText="1"/>
    </xf>
    <xf numFmtId="0" fontId="16" fillId="0" borderId="57" xfId="0" applyFont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1" fontId="28" fillId="0" borderId="55" xfId="0" applyNumberFormat="1" applyFont="1" applyBorder="1" applyAlignment="1">
      <alignment horizontal="center" vertical="top" shrinkToFit="1"/>
    </xf>
    <xf numFmtId="1" fontId="16" fillId="0" borderId="55" xfId="0" applyNumberFormat="1" applyFont="1" applyBorder="1" applyAlignment="1">
      <alignment horizontal="center" vertical="top" shrinkToFit="1"/>
    </xf>
    <xf numFmtId="4" fontId="16" fillId="0" borderId="41" xfId="0" applyNumberFormat="1" applyFont="1" applyBorder="1" applyAlignment="1">
      <alignment horizontal="right" vertical="center" wrapText="1"/>
    </xf>
    <xf numFmtId="1" fontId="28" fillId="0" borderId="2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2" fillId="4" borderId="45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4" fontId="16" fillId="8" borderId="47" xfId="0" applyNumberFormat="1" applyFont="1" applyFill="1" applyBorder="1" applyAlignment="1">
      <alignment horizontal="right" vertical="center" wrapText="1"/>
    </xf>
    <xf numFmtId="0" fontId="16" fillId="9" borderId="2" xfId="0" applyFont="1" applyFill="1" applyBorder="1" applyAlignment="1">
      <alignment horizontal="center" vertical="center" wrapText="1"/>
    </xf>
    <xf numFmtId="4" fontId="16" fillId="9" borderId="47" xfId="0" applyNumberFormat="1" applyFont="1" applyFill="1" applyBorder="1" applyAlignment="1">
      <alignment horizontal="right" vertical="center" wrapText="1"/>
    </xf>
    <xf numFmtId="4" fontId="16" fillId="10" borderId="47" xfId="0" applyNumberFormat="1" applyFont="1" applyFill="1" applyBorder="1" applyAlignment="1">
      <alignment horizontal="right" vertical="center" wrapText="1"/>
    </xf>
    <xf numFmtId="0" fontId="16" fillId="10" borderId="51" xfId="0" applyFont="1" applyFill="1" applyBorder="1" applyAlignment="1">
      <alignment horizontal="center" vertical="center" wrapText="1"/>
    </xf>
    <xf numFmtId="4" fontId="16" fillId="10" borderId="49" xfId="0" applyNumberFormat="1" applyFont="1" applyFill="1" applyBorder="1" applyAlignment="1">
      <alignment horizontal="right" vertical="center" wrapText="1"/>
    </xf>
    <xf numFmtId="1" fontId="28" fillId="8" borderId="2" xfId="0" applyNumberFormat="1" applyFont="1" applyFill="1" applyBorder="1" applyAlignment="1">
      <alignment horizontal="center" vertical="center" shrinkToFit="1"/>
    </xf>
    <xf numFmtId="1" fontId="16" fillId="8" borderId="2" xfId="0" applyNumberFormat="1" applyFont="1" applyFill="1" applyBorder="1" applyAlignment="1">
      <alignment horizontal="center" vertical="center" shrinkToFit="1"/>
    </xf>
    <xf numFmtId="2" fontId="16" fillId="8" borderId="2" xfId="0" applyNumberFormat="1" applyFont="1" applyFill="1" applyBorder="1" applyAlignment="1">
      <alignment horizontal="center" vertical="center" wrapText="1"/>
    </xf>
    <xf numFmtId="1" fontId="16" fillId="9" borderId="2" xfId="0" applyNumberFormat="1" applyFont="1" applyFill="1" applyBorder="1" applyAlignment="1">
      <alignment horizontal="center" vertical="center" shrinkToFit="1"/>
    </xf>
    <xf numFmtId="1" fontId="28" fillId="9" borderId="2" xfId="0" applyNumberFormat="1" applyFont="1" applyFill="1" applyBorder="1" applyAlignment="1">
      <alignment horizontal="center" vertical="center" shrinkToFit="1"/>
    </xf>
    <xf numFmtId="2" fontId="16" fillId="9" borderId="2" xfId="0" applyNumberFormat="1" applyFont="1" applyFill="1" applyBorder="1" applyAlignment="1">
      <alignment horizontal="center" vertical="center" wrapText="1"/>
    </xf>
    <xf numFmtId="1" fontId="28" fillId="10" borderId="2" xfId="0" applyNumberFormat="1" applyFont="1" applyFill="1" applyBorder="1" applyAlignment="1">
      <alignment horizontal="center" vertical="center" shrinkToFit="1"/>
    </xf>
    <xf numFmtId="1" fontId="16" fillId="10" borderId="2" xfId="0" applyNumberFormat="1" applyFont="1" applyFill="1" applyBorder="1" applyAlignment="1">
      <alignment horizontal="center" vertical="center" shrinkToFit="1"/>
    </xf>
    <xf numFmtId="2" fontId="16" fillId="10" borderId="2" xfId="0" applyNumberFormat="1" applyFont="1" applyFill="1" applyBorder="1" applyAlignment="1">
      <alignment horizontal="center" vertical="center" wrapText="1"/>
    </xf>
    <xf numFmtId="1" fontId="28" fillId="10" borderId="51" xfId="0" applyNumberFormat="1" applyFont="1" applyFill="1" applyBorder="1" applyAlignment="1">
      <alignment horizontal="center" vertical="center" shrinkToFit="1"/>
    </xf>
    <xf numFmtId="2" fontId="16" fillId="10" borderId="51" xfId="0" applyNumberFormat="1" applyFont="1" applyFill="1" applyBorder="1" applyAlignment="1">
      <alignment horizontal="center" vertical="center" wrapText="1"/>
    </xf>
    <xf numFmtId="1" fontId="28" fillId="10" borderId="8" xfId="0" applyNumberFormat="1" applyFont="1" applyFill="1" applyBorder="1" applyAlignment="1">
      <alignment horizontal="center" vertical="center" shrinkToFit="1"/>
    </xf>
    <xf numFmtId="2" fontId="16" fillId="10" borderId="8" xfId="0" applyNumberFormat="1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right" vertical="center" wrapText="1"/>
    </xf>
    <xf numFmtId="44" fontId="30" fillId="3" borderId="8" xfId="0" applyNumberFormat="1" applyFont="1" applyFill="1" applyBorder="1" applyAlignment="1">
      <alignment horizontal="right" wrapText="1"/>
    </xf>
    <xf numFmtId="0" fontId="30" fillId="3" borderId="46" xfId="0" applyFont="1" applyFill="1" applyBorder="1" applyAlignment="1">
      <alignment horizontal="center" wrapText="1"/>
    </xf>
    <xf numFmtId="0" fontId="30" fillId="3" borderId="52" xfId="0" applyFont="1" applyFill="1" applyBorder="1" applyAlignment="1">
      <alignment horizontal="center" wrapText="1"/>
    </xf>
    <xf numFmtId="0" fontId="30" fillId="3" borderId="53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0" fillId="0" borderId="27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30" xfId="0" applyBorder="1" applyAlignment="1">
      <alignment horizontal="right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17" fontId="17" fillId="0" borderId="8" xfId="2" applyNumberFormat="1" applyFont="1" applyFill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/>
    </xf>
    <xf numFmtId="167" fontId="24" fillId="0" borderId="8" xfId="0" applyNumberFormat="1" applyFont="1" applyBorder="1" applyAlignment="1">
      <alignment horizontal="center"/>
    </xf>
    <xf numFmtId="2" fontId="24" fillId="0" borderId="3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169" fontId="24" fillId="0" borderId="3" xfId="0" applyNumberFormat="1" applyFont="1" applyBorder="1" applyAlignment="1">
      <alignment horizontal="center"/>
    </xf>
    <xf numFmtId="169" fontId="24" fillId="0" borderId="5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71" fontId="24" fillId="0" borderId="8" xfId="0" applyNumberFormat="1" applyFont="1" applyBorder="1" applyAlignment="1">
      <alignment horizontal="center"/>
    </xf>
    <xf numFmtId="4" fontId="24" fillId="0" borderId="8" xfId="0" applyNumberFormat="1" applyFont="1" applyBorder="1" applyAlignment="1">
      <alignment horizontal="center"/>
    </xf>
    <xf numFmtId="4" fontId="25" fillId="0" borderId="8" xfId="0" applyNumberFormat="1" applyFont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25" fillId="6" borderId="13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6" xfId="0" applyFont="1" applyBorder="1" applyAlignment="1">
      <alignment horizontal="center"/>
    </xf>
  </cellXfs>
  <cellStyles count="6">
    <cellStyle name="Normal" xfId="0" builtinId="0"/>
    <cellStyle name="Normal 7" xfId="5" xr:uid="{D505E432-2575-4657-89D0-A865B4CBC5EE}"/>
    <cellStyle name="Porcentagem" xfId="4" builtinId="5"/>
    <cellStyle name="Vírgula" xfId="1" builtinId="3"/>
    <cellStyle name="Vírgula 2 13 3" xfId="3" xr:uid="{290CE0F3-9088-424E-8342-E3E0F1D3E758}"/>
    <cellStyle name="Vírgula 8" xfId="2" xr:uid="{9AB87984-CBF5-49FF-8FF4-6D260E876F8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333" cy="45719"/>
    <xdr:pic>
      <xdr:nvPicPr>
        <xdr:cNvPr id="2" name="image1.png">
          <a:extLst>
            <a:ext uri="{FF2B5EF4-FFF2-40B4-BE49-F238E27FC236}">
              <a16:creationId xmlns:a16="http://schemas.microsoft.com/office/drawing/2014/main" id="{3853213C-0234-432B-AF1F-B525469DD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 flipV="1">
          <a:off x="285750" y="6221441"/>
          <a:ext cx="5333" cy="45719"/>
        </a:xfrm>
        <a:prstGeom prst="rect">
          <a:avLst/>
        </a:prstGeom>
      </xdr:spPr>
    </xdr:pic>
    <xdr:clientData/>
  </xdr:oneCellAnchor>
  <xdr:oneCellAnchor>
    <xdr:from>
      <xdr:col>1</xdr:col>
      <xdr:colOff>165928</xdr:colOff>
      <xdr:row>0</xdr:row>
      <xdr:rowOff>118015</xdr:rowOff>
    </xdr:from>
    <xdr:ext cx="1429595" cy="977360"/>
    <xdr:pic>
      <xdr:nvPicPr>
        <xdr:cNvPr id="4" name="image2.png">
          <a:extLst>
            <a:ext uri="{FF2B5EF4-FFF2-40B4-BE49-F238E27FC236}">
              <a16:creationId xmlns:a16="http://schemas.microsoft.com/office/drawing/2014/main" id="{C5BCBFDD-3397-46B2-8A1E-7F84B70B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678" y="118015"/>
          <a:ext cx="1429595" cy="977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1616</xdr:rowOff>
    </xdr:from>
    <xdr:ext cx="5333" cy="4571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 flipV="1">
          <a:off x="0" y="5716616"/>
          <a:ext cx="5333" cy="45719"/>
        </a:xfrm>
        <a:prstGeom prst="rect">
          <a:avLst/>
        </a:prstGeom>
      </xdr:spPr>
    </xdr:pic>
    <xdr:clientData/>
  </xdr:oneCellAnchor>
  <xdr:oneCellAnchor>
    <xdr:from>
      <xdr:col>1</xdr:col>
      <xdr:colOff>137353</xdr:colOff>
      <xdr:row>1</xdr:row>
      <xdr:rowOff>98965</xdr:rowOff>
    </xdr:from>
    <xdr:ext cx="1348533" cy="921941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103" y="270415"/>
          <a:ext cx="1348533" cy="9219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47BA-60DE-4807-8CD3-5DAFF6BF58BD}">
  <sheetPr>
    <pageSetUpPr fitToPage="1"/>
  </sheetPr>
  <dimension ref="B1:P21"/>
  <sheetViews>
    <sheetView tabSelected="1" zoomScaleNormal="100" workbookViewId="0">
      <selection activeCell="D1" sqref="D1:L1"/>
    </sheetView>
  </sheetViews>
  <sheetFormatPr defaultRowHeight="12.75" x14ac:dyDescent="0.2"/>
  <cols>
    <col min="1" max="1" width="5" customWidth="1"/>
    <col min="2" max="2" width="10" customWidth="1"/>
    <col min="3" max="3" width="20" customWidth="1"/>
    <col min="4" max="4" width="82.5" customWidth="1"/>
    <col min="5" max="6" width="13" bestFit="1" customWidth="1"/>
    <col min="7" max="7" width="13" customWidth="1"/>
    <col min="8" max="8" width="12.6640625" customWidth="1"/>
    <col min="9" max="9" width="16.5" customWidth="1"/>
    <col min="10" max="10" width="21.83203125" customWidth="1"/>
    <col min="11" max="11" width="12.83203125" customWidth="1"/>
    <col min="12" max="12" width="9.5" style="98" customWidth="1"/>
    <col min="13" max="13" width="36.1640625" style="98" customWidth="1"/>
    <col min="14" max="14" width="11.6640625" customWidth="1"/>
    <col min="15" max="16" width="10.6640625" customWidth="1"/>
    <col min="17" max="17" width="9.6640625" bestFit="1" customWidth="1"/>
    <col min="18" max="20" width="11.5" customWidth="1"/>
    <col min="21" max="21" width="18.1640625" customWidth="1"/>
    <col min="22" max="22" width="16.83203125" customWidth="1"/>
    <col min="24" max="24" width="29" customWidth="1"/>
    <col min="27" max="27" width="10.6640625" bestFit="1" customWidth="1"/>
  </cols>
  <sheetData>
    <row r="1" spans="2:16" ht="99" customHeight="1" x14ac:dyDescent="0.2">
      <c r="B1" s="180"/>
      <c r="C1" s="181"/>
      <c r="D1" s="179" t="s">
        <v>112</v>
      </c>
      <c r="E1" s="179"/>
      <c r="F1" s="179"/>
      <c r="G1" s="179"/>
      <c r="H1" s="179"/>
      <c r="I1" s="179"/>
      <c r="J1" s="179"/>
      <c r="K1" s="179"/>
      <c r="L1" s="179"/>
      <c r="M1" s="100" t="s">
        <v>123</v>
      </c>
      <c r="N1" s="12"/>
      <c r="O1" s="12"/>
      <c r="P1" s="12"/>
    </row>
    <row r="2" spans="2:16" ht="25.5" x14ac:dyDescent="0.2">
      <c r="B2" s="93" t="s">
        <v>93</v>
      </c>
      <c r="C2" s="94" t="s">
        <v>94</v>
      </c>
      <c r="D2" s="94" t="s">
        <v>95</v>
      </c>
      <c r="E2" s="82" t="s">
        <v>105</v>
      </c>
      <c r="F2" s="74" t="s">
        <v>96</v>
      </c>
      <c r="G2" s="74" t="s">
        <v>106</v>
      </c>
      <c r="H2" s="82" t="s">
        <v>107</v>
      </c>
      <c r="I2" s="69" t="s">
        <v>102</v>
      </c>
      <c r="J2" s="95" t="s">
        <v>103</v>
      </c>
      <c r="K2" s="99" t="s">
        <v>113</v>
      </c>
      <c r="L2" s="99" t="s">
        <v>117</v>
      </c>
      <c r="M2" s="99" t="s">
        <v>118</v>
      </c>
    </row>
    <row r="3" spans="2:16" x14ac:dyDescent="0.2">
      <c r="B3" s="79">
        <v>1</v>
      </c>
      <c r="C3" s="71"/>
      <c r="D3" s="75" t="s">
        <v>97</v>
      </c>
      <c r="E3" s="71"/>
      <c r="F3" s="71"/>
      <c r="G3" s="71"/>
      <c r="H3" s="71"/>
      <c r="I3" s="71"/>
      <c r="J3" s="96"/>
      <c r="K3" s="97"/>
      <c r="L3" s="97"/>
      <c r="M3" s="97"/>
    </row>
    <row r="4" spans="2:16" ht="25.5" x14ac:dyDescent="0.2">
      <c r="B4" s="101" t="s">
        <v>104</v>
      </c>
      <c r="C4" s="102" t="s">
        <v>91</v>
      </c>
      <c r="D4" s="103" t="s">
        <v>109</v>
      </c>
      <c r="E4" s="161">
        <v>90</v>
      </c>
      <c r="F4" s="154" t="s">
        <v>13</v>
      </c>
      <c r="G4" s="162">
        <v>200</v>
      </c>
      <c r="H4" s="161">
        <f t="shared" ref="H4:H13" si="0">E4*G4*6</f>
        <v>108000</v>
      </c>
      <c r="I4" s="163">
        <f>PLANILHA!I13</f>
        <v>347.57</v>
      </c>
      <c r="J4" s="155">
        <f t="shared" ref="J4:J20" si="1">H4*I4</f>
        <v>37537560</v>
      </c>
      <c r="K4" s="104">
        <f>J4/$J$21</f>
        <v>0.27076807699501654</v>
      </c>
      <c r="L4" s="105" t="s">
        <v>114</v>
      </c>
      <c r="M4" s="106">
        <f>K4</f>
        <v>0.27076807699501654</v>
      </c>
      <c r="N4" s="12"/>
      <c r="O4" s="12"/>
      <c r="P4" s="12"/>
    </row>
    <row r="5" spans="2:16" x14ac:dyDescent="0.2">
      <c r="B5" s="101" t="s">
        <v>77</v>
      </c>
      <c r="C5" s="102" t="s">
        <v>90</v>
      </c>
      <c r="D5" s="103" t="s">
        <v>108</v>
      </c>
      <c r="E5" s="161">
        <v>30</v>
      </c>
      <c r="F5" s="154" t="s">
        <v>13</v>
      </c>
      <c r="G5" s="162">
        <v>200</v>
      </c>
      <c r="H5" s="161">
        <f t="shared" si="0"/>
        <v>36000</v>
      </c>
      <c r="I5" s="163">
        <f>PLANILHA!I12</f>
        <v>450.33525918289996</v>
      </c>
      <c r="J5" s="155">
        <f t="shared" si="1"/>
        <v>16212069.330584399</v>
      </c>
      <c r="K5" s="104">
        <f t="shared" ref="K5:K21" si="2">J5/$J$21</f>
        <v>0.1169418267130901</v>
      </c>
      <c r="L5" s="105" t="s">
        <v>114</v>
      </c>
      <c r="M5" s="106">
        <f>M4+K5</f>
        <v>0.38770990370810665</v>
      </c>
      <c r="N5" s="12"/>
      <c r="O5" s="12"/>
      <c r="P5" s="12"/>
    </row>
    <row r="6" spans="2:16" x14ac:dyDescent="0.2">
      <c r="B6" s="101" t="s">
        <v>72</v>
      </c>
      <c r="C6" s="102" t="s">
        <v>87</v>
      </c>
      <c r="D6" s="103" t="s">
        <v>69</v>
      </c>
      <c r="E6" s="161">
        <v>30</v>
      </c>
      <c r="F6" s="154" t="s">
        <v>13</v>
      </c>
      <c r="G6" s="162">
        <v>200</v>
      </c>
      <c r="H6" s="161">
        <f t="shared" si="0"/>
        <v>36000</v>
      </c>
      <c r="I6" s="163">
        <f>PLANILHA!I7</f>
        <v>350.72559602898991</v>
      </c>
      <c r="J6" s="155">
        <f t="shared" si="1"/>
        <v>12626121.457043637</v>
      </c>
      <c r="K6" s="104">
        <f t="shared" si="2"/>
        <v>9.1075462199173882E-2</v>
      </c>
      <c r="L6" s="105" t="s">
        <v>114</v>
      </c>
      <c r="M6" s="106">
        <f t="shared" ref="M6:M20" si="3">M5+K6</f>
        <v>0.47878536590728055</v>
      </c>
      <c r="N6" s="12"/>
      <c r="O6" s="12"/>
      <c r="P6" s="12"/>
    </row>
    <row r="7" spans="2:16" x14ac:dyDescent="0.2">
      <c r="B7" s="101" t="s">
        <v>76</v>
      </c>
      <c r="C7" s="102" t="s">
        <v>89</v>
      </c>
      <c r="D7" s="103" t="s">
        <v>66</v>
      </c>
      <c r="E7" s="161">
        <v>30</v>
      </c>
      <c r="F7" s="154" t="s">
        <v>13</v>
      </c>
      <c r="G7" s="162">
        <v>200</v>
      </c>
      <c r="H7" s="161">
        <f t="shared" si="0"/>
        <v>36000</v>
      </c>
      <c r="I7" s="163">
        <f>PLANILHA!I11</f>
        <v>397.94206542999996</v>
      </c>
      <c r="J7" s="155">
        <f t="shared" si="1"/>
        <v>14325914.355479999</v>
      </c>
      <c r="K7" s="104">
        <f t="shared" si="2"/>
        <v>0.10333650565536547</v>
      </c>
      <c r="L7" s="105" t="s">
        <v>114</v>
      </c>
      <c r="M7" s="106">
        <f t="shared" si="3"/>
        <v>0.58212187156264605</v>
      </c>
      <c r="N7" s="12"/>
      <c r="O7" s="12"/>
      <c r="P7" s="12"/>
    </row>
    <row r="8" spans="2:16" x14ac:dyDescent="0.2">
      <c r="B8" s="101" t="s">
        <v>71</v>
      </c>
      <c r="C8" s="102" t="s">
        <v>86</v>
      </c>
      <c r="D8" s="103" t="s">
        <v>70</v>
      </c>
      <c r="E8" s="161">
        <v>30</v>
      </c>
      <c r="F8" s="154" t="s">
        <v>13</v>
      </c>
      <c r="G8" s="162">
        <v>200</v>
      </c>
      <c r="H8" s="161">
        <f t="shared" si="0"/>
        <v>36000</v>
      </c>
      <c r="I8" s="163">
        <f>PLANILHA!I6</f>
        <v>360.45181941495997</v>
      </c>
      <c r="J8" s="155">
        <f t="shared" si="1"/>
        <v>12976265.498938559</v>
      </c>
      <c r="K8" s="104">
        <f t="shared" si="2"/>
        <v>9.3601141249574346E-2</v>
      </c>
      <c r="L8" s="105" t="s">
        <v>114</v>
      </c>
      <c r="M8" s="106">
        <f t="shared" si="3"/>
        <v>0.67572301281222036</v>
      </c>
      <c r="N8" s="12"/>
      <c r="O8" s="12"/>
      <c r="P8" s="12"/>
    </row>
    <row r="9" spans="2:16" x14ac:dyDescent="0.2">
      <c r="B9" s="101" t="s">
        <v>73</v>
      </c>
      <c r="C9" s="102" t="s">
        <v>85</v>
      </c>
      <c r="D9" s="103" t="s">
        <v>67</v>
      </c>
      <c r="E9" s="161">
        <v>30</v>
      </c>
      <c r="F9" s="154" t="s">
        <v>13</v>
      </c>
      <c r="G9" s="162">
        <v>200</v>
      </c>
      <c r="H9" s="161">
        <f t="shared" si="0"/>
        <v>36000</v>
      </c>
      <c r="I9" s="163">
        <f>PLANILHA!I8</f>
        <v>330.95484197138995</v>
      </c>
      <c r="J9" s="155">
        <f t="shared" si="1"/>
        <v>11914374.310970038</v>
      </c>
      <c r="K9" s="104">
        <f t="shared" si="2"/>
        <v>8.5941446934222204E-2</v>
      </c>
      <c r="L9" s="105" t="s">
        <v>114</v>
      </c>
      <c r="M9" s="106">
        <f t="shared" si="3"/>
        <v>0.76166445974644259</v>
      </c>
      <c r="N9" s="12"/>
      <c r="O9" s="12"/>
      <c r="P9" s="12"/>
    </row>
    <row r="10" spans="2:16" x14ac:dyDescent="0.2">
      <c r="B10" s="107" t="s">
        <v>74</v>
      </c>
      <c r="C10" s="108" t="s">
        <v>12</v>
      </c>
      <c r="D10" s="109" t="s">
        <v>68</v>
      </c>
      <c r="E10" s="164">
        <v>30</v>
      </c>
      <c r="F10" s="156" t="s">
        <v>13</v>
      </c>
      <c r="G10" s="165">
        <v>200</v>
      </c>
      <c r="H10" s="165">
        <f t="shared" si="0"/>
        <v>36000</v>
      </c>
      <c r="I10" s="166">
        <f>PLANILHA!I9</f>
        <v>305.10054702399998</v>
      </c>
      <c r="J10" s="157">
        <f t="shared" si="1"/>
        <v>10983619.692863999</v>
      </c>
      <c r="K10" s="110">
        <f t="shared" si="2"/>
        <v>7.9227674432791551E-2</v>
      </c>
      <c r="L10" s="111" t="s">
        <v>115</v>
      </c>
      <c r="M10" s="112">
        <f t="shared" si="3"/>
        <v>0.84089213417923414</v>
      </c>
      <c r="N10" s="12"/>
      <c r="O10" s="12"/>
      <c r="P10" s="12"/>
    </row>
    <row r="11" spans="2:16" x14ac:dyDescent="0.2">
      <c r="B11" s="107" t="s">
        <v>75</v>
      </c>
      <c r="C11" s="108" t="s">
        <v>88</v>
      </c>
      <c r="D11" s="109" t="s">
        <v>65</v>
      </c>
      <c r="E11" s="165">
        <v>30</v>
      </c>
      <c r="F11" s="156" t="s">
        <v>13</v>
      </c>
      <c r="G11" s="165">
        <v>200</v>
      </c>
      <c r="H11" s="165">
        <f t="shared" si="0"/>
        <v>36000</v>
      </c>
      <c r="I11" s="166">
        <f>PLANILHA!I10</f>
        <v>221.07194447701994</v>
      </c>
      <c r="J11" s="157">
        <f t="shared" si="1"/>
        <v>7958590.0011727177</v>
      </c>
      <c r="K11" s="110">
        <f t="shared" si="2"/>
        <v>5.7407357063413364E-2</v>
      </c>
      <c r="L11" s="111" t="s">
        <v>115</v>
      </c>
      <c r="M11" s="112">
        <f t="shared" si="3"/>
        <v>0.89829949124264752</v>
      </c>
      <c r="N11" s="12"/>
      <c r="O11" s="12"/>
      <c r="P11" s="12"/>
    </row>
    <row r="12" spans="2:16" x14ac:dyDescent="0.2">
      <c r="B12" s="107" t="s">
        <v>81</v>
      </c>
      <c r="C12" s="108" t="s">
        <v>92</v>
      </c>
      <c r="D12" s="109" t="s">
        <v>16</v>
      </c>
      <c r="E12" s="165">
        <v>30</v>
      </c>
      <c r="F12" s="156" t="s">
        <v>13</v>
      </c>
      <c r="G12" s="165">
        <v>200</v>
      </c>
      <c r="H12" s="165">
        <f t="shared" si="0"/>
        <v>36000</v>
      </c>
      <c r="I12" s="166">
        <f>PLANILHA!I17</f>
        <v>168.19352337606</v>
      </c>
      <c r="J12" s="157">
        <f t="shared" si="1"/>
        <v>6054966.8415381601</v>
      </c>
      <c r="K12" s="110">
        <f t="shared" si="2"/>
        <v>4.3676033496899545E-2</v>
      </c>
      <c r="L12" s="113" t="s">
        <v>115</v>
      </c>
      <c r="M12" s="112">
        <f t="shared" si="3"/>
        <v>0.94197552473954704</v>
      </c>
    </row>
    <row r="13" spans="2:16" x14ac:dyDescent="0.2">
      <c r="B13" s="114" t="s">
        <v>78</v>
      </c>
      <c r="C13" s="115" t="s">
        <v>20</v>
      </c>
      <c r="D13" s="116" t="s">
        <v>21</v>
      </c>
      <c r="E13" s="167">
        <v>5</v>
      </c>
      <c r="F13" s="121" t="s">
        <v>13</v>
      </c>
      <c r="G13" s="168">
        <v>200</v>
      </c>
      <c r="H13" s="167">
        <f t="shared" si="0"/>
        <v>6000</v>
      </c>
      <c r="I13" s="169">
        <f>PLANILHA!I14</f>
        <v>371.08068622169992</v>
      </c>
      <c r="J13" s="158">
        <f t="shared" si="1"/>
        <v>2226484.1173301996</v>
      </c>
      <c r="K13" s="117">
        <f t="shared" si="2"/>
        <v>1.6060202711882309E-2</v>
      </c>
      <c r="L13" s="118" t="s">
        <v>116</v>
      </c>
      <c r="M13" s="119">
        <f t="shared" si="3"/>
        <v>0.9580357274514294</v>
      </c>
      <c r="N13" s="12"/>
      <c r="O13" s="12"/>
      <c r="P13" s="12"/>
    </row>
    <row r="14" spans="2:16" ht="38.25" x14ac:dyDescent="0.2">
      <c r="B14" s="120" t="s">
        <v>84</v>
      </c>
      <c r="C14" s="121" t="s">
        <v>23</v>
      </c>
      <c r="D14" s="116" t="s">
        <v>99</v>
      </c>
      <c r="E14" s="167"/>
      <c r="F14" s="121" t="s">
        <v>13</v>
      </c>
      <c r="G14" s="167"/>
      <c r="H14" s="121">
        <f>8*2*(E5+E8+E9+E11+E12+E13+E17)</f>
        <v>2560</v>
      </c>
      <c r="I14" s="169">
        <f>PLANILHA!I21</f>
        <v>694.62956769056098</v>
      </c>
      <c r="J14" s="158">
        <f t="shared" si="1"/>
        <v>1778251.6932878362</v>
      </c>
      <c r="K14" s="117">
        <f t="shared" si="2"/>
        <v>1.282698692735168E-2</v>
      </c>
      <c r="L14" s="118" t="s">
        <v>116</v>
      </c>
      <c r="M14" s="119">
        <f t="shared" si="3"/>
        <v>0.97086271437878113</v>
      </c>
      <c r="N14" s="12"/>
      <c r="O14" s="12"/>
      <c r="P14" s="12"/>
    </row>
    <row r="15" spans="2:16" x14ac:dyDescent="0.2">
      <c r="B15" s="114" t="s">
        <v>80</v>
      </c>
      <c r="C15" s="121" t="s">
        <v>22</v>
      </c>
      <c r="D15" s="116" t="s">
        <v>19</v>
      </c>
      <c r="E15" s="167">
        <v>5</v>
      </c>
      <c r="F15" s="121" t="s">
        <v>13</v>
      </c>
      <c r="G15" s="168">
        <v>200</v>
      </c>
      <c r="H15" s="167">
        <f>E15*G15*6</f>
        <v>6000</v>
      </c>
      <c r="I15" s="169">
        <f>PLANILHA!I16</f>
        <v>253.16079889150174</v>
      </c>
      <c r="J15" s="158">
        <f t="shared" si="1"/>
        <v>1518964.7933490104</v>
      </c>
      <c r="K15" s="117">
        <f t="shared" si="2"/>
        <v>1.095668381531043E-2</v>
      </c>
      <c r="L15" s="118" t="s">
        <v>116</v>
      </c>
      <c r="M15" s="119">
        <f t="shared" si="3"/>
        <v>0.98181939819409159</v>
      </c>
      <c r="N15" s="12"/>
      <c r="O15" s="12"/>
      <c r="P15" s="12"/>
    </row>
    <row r="16" spans="2:16" ht="25.5" x14ac:dyDescent="0.2">
      <c r="B16" s="120" t="s">
        <v>14</v>
      </c>
      <c r="C16" s="121" t="s">
        <v>24</v>
      </c>
      <c r="D16" s="116" t="s">
        <v>100</v>
      </c>
      <c r="E16" s="167"/>
      <c r="F16" s="121" t="s">
        <v>13</v>
      </c>
      <c r="G16" s="167"/>
      <c r="H16" s="121">
        <f>8*2*(E4+E6)</f>
        <v>1920</v>
      </c>
      <c r="I16" s="169">
        <f>PLANILHA!I22</f>
        <v>452.87026660882253</v>
      </c>
      <c r="J16" s="158">
        <f t="shared" si="1"/>
        <v>869510.91188893921</v>
      </c>
      <c r="K16" s="117">
        <f t="shared" si="2"/>
        <v>6.2720058932533521E-3</v>
      </c>
      <c r="L16" s="118" t="s">
        <v>116</v>
      </c>
      <c r="M16" s="119">
        <f t="shared" si="3"/>
        <v>0.98809140408734497</v>
      </c>
      <c r="N16" s="12"/>
      <c r="O16" s="12"/>
      <c r="P16" s="12"/>
    </row>
    <row r="17" spans="2:13" x14ac:dyDescent="0.2">
      <c r="B17" s="114" t="s">
        <v>79</v>
      </c>
      <c r="C17" s="115" t="s">
        <v>18</v>
      </c>
      <c r="D17" s="116" t="s">
        <v>17</v>
      </c>
      <c r="E17" s="167">
        <v>5</v>
      </c>
      <c r="F17" s="121" t="s">
        <v>13</v>
      </c>
      <c r="G17" s="168">
        <v>200</v>
      </c>
      <c r="H17" s="167">
        <f>E17*G17*6</f>
        <v>6000</v>
      </c>
      <c r="I17" s="169">
        <f>PLANILHA!I15</f>
        <v>183.80854746344997</v>
      </c>
      <c r="J17" s="158">
        <f t="shared" si="1"/>
        <v>1102851.2847806998</v>
      </c>
      <c r="K17" s="117">
        <f t="shared" si="2"/>
        <v>7.9551500308372037E-3</v>
      </c>
      <c r="L17" s="122" t="s">
        <v>116</v>
      </c>
      <c r="M17" s="119">
        <f t="shared" si="3"/>
        <v>0.99604655411818221</v>
      </c>
    </row>
    <row r="18" spans="2:13" x14ac:dyDescent="0.2">
      <c r="B18" s="114" t="s">
        <v>83</v>
      </c>
      <c r="C18" s="123" t="s">
        <v>26</v>
      </c>
      <c r="D18" s="116" t="s">
        <v>27</v>
      </c>
      <c r="E18" s="167">
        <v>5</v>
      </c>
      <c r="F18" s="121" t="s">
        <v>13</v>
      </c>
      <c r="G18" s="168">
        <v>200</v>
      </c>
      <c r="H18" s="167">
        <f>E18*G18*6</f>
        <v>6000</v>
      </c>
      <c r="I18" s="169">
        <f>PLANILHA!I19</f>
        <v>39.640105505000001</v>
      </c>
      <c r="J18" s="158">
        <f t="shared" si="1"/>
        <v>237840.63303</v>
      </c>
      <c r="K18" s="117">
        <f t="shared" si="2"/>
        <v>1.7156056716741981E-3</v>
      </c>
      <c r="L18" s="122" t="s">
        <v>116</v>
      </c>
      <c r="M18" s="119">
        <f t="shared" si="3"/>
        <v>0.99776215978985638</v>
      </c>
    </row>
    <row r="19" spans="2:13" x14ac:dyDescent="0.2">
      <c r="B19" s="114" t="s">
        <v>82</v>
      </c>
      <c r="C19" s="121" t="s">
        <v>28</v>
      </c>
      <c r="D19" s="116" t="s">
        <v>29</v>
      </c>
      <c r="E19" s="170">
        <v>5</v>
      </c>
      <c r="F19" s="159" t="s">
        <v>13</v>
      </c>
      <c r="G19" s="168">
        <v>200</v>
      </c>
      <c r="H19" s="170">
        <f>E19*G19*6</f>
        <v>6000</v>
      </c>
      <c r="I19" s="171">
        <f>PLANILHA!I18</f>
        <v>31.111444000000002</v>
      </c>
      <c r="J19" s="158">
        <f t="shared" si="1"/>
        <v>186668.66400000002</v>
      </c>
      <c r="K19" s="117">
        <f t="shared" si="2"/>
        <v>1.346489094829522E-3</v>
      </c>
      <c r="L19" s="122" t="s">
        <v>116</v>
      </c>
      <c r="M19" s="119">
        <f t="shared" si="3"/>
        <v>0.99910864888468587</v>
      </c>
    </row>
    <row r="20" spans="2:13" ht="15.75" customHeight="1" x14ac:dyDescent="0.2">
      <c r="B20" s="124" t="s">
        <v>15</v>
      </c>
      <c r="C20" s="125" t="s">
        <v>25</v>
      </c>
      <c r="D20" s="126" t="s">
        <v>101</v>
      </c>
      <c r="E20" s="172"/>
      <c r="F20" s="130" t="s">
        <v>13</v>
      </c>
      <c r="G20" s="172"/>
      <c r="H20" s="130">
        <f>8*2*E10</f>
        <v>480</v>
      </c>
      <c r="I20" s="173">
        <f>PLANILHA!I23</f>
        <v>257.44007521975345</v>
      </c>
      <c r="J20" s="160">
        <f t="shared" si="1"/>
        <v>123571.23610548166</v>
      </c>
      <c r="K20" s="127">
        <f t="shared" si="2"/>
        <v>8.9135111531432577E-4</v>
      </c>
      <c r="L20" s="128" t="s">
        <v>116</v>
      </c>
      <c r="M20" s="129">
        <f t="shared" si="3"/>
        <v>1.0000000000000002</v>
      </c>
    </row>
    <row r="21" spans="2:13" x14ac:dyDescent="0.2">
      <c r="B21" s="176" t="s">
        <v>119</v>
      </c>
      <c r="C21" s="177"/>
      <c r="D21" s="177"/>
      <c r="E21" s="177"/>
      <c r="F21" s="177"/>
      <c r="G21" s="177"/>
      <c r="H21" s="177"/>
      <c r="I21" s="178"/>
      <c r="J21" s="175">
        <f>SUM(J4:J20)</f>
        <v>138633624.82236367</v>
      </c>
      <c r="K21" s="131">
        <f t="shared" si="2"/>
        <v>1</v>
      </c>
      <c r="L21" s="71"/>
      <c r="M21" s="71"/>
    </row>
  </sheetData>
  <autoFilter ref="B3:K3" xr:uid="{C08047BA-60DE-4807-8CD3-5DAFF6BF58BD}">
    <sortState xmlns:xlrd2="http://schemas.microsoft.com/office/spreadsheetml/2017/richdata2" ref="B4:K21">
      <sortCondition descending="1" ref="J3"/>
    </sortState>
  </autoFilter>
  <mergeCells count="3">
    <mergeCell ref="B21:I21"/>
    <mergeCell ref="D1:L1"/>
    <mergeCell ref="B1:C1"/>
  </mergeCells>
  <pageMargins left="0.25" right="0.25" top="0.75" bottom="0.75" header="0.3" footer="0.3"/>
  <pageSetup scale="55" orientation="landscape" r:id="rId1"/>
  <ignoredErrors>
    <ignoredError sqref="H14 H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" sqref="B2:J30"/>
    </sheetView>
  </sheetViews>
  <sheetFormatPr defaultRowHeight="12.75" x14ac:dyDescent="0.2"/>
  <cols>
    <col min="1" max="1" width="5" customWidth="1"/>
    <col min="2" max="2" width="10" customWidth="1"/>
    <col min="3" max="3" width="20" customWidth="1"/>
    <col min="4" max="4" width="82.5" style="138" customWidth="1"/>
    <col min="5" max="6" width="13" bestFit="1" customWidth="1"/>
    <col min="7" max="7" width="13" customWidth="1"/>
    <col min="8" max="8" width="12.6640625" customWidth="1"/>
    <col min="9" max="9" width="16.5" customWidth="1"/>
    <col min="10" max="10" width="25.1640625" customWidth="1"/>
    <col min="11" max="11" width="12.83203125" customWidth="1"/>
    <col min="12" max="12" width="11" customWidth="1"/>
    <col min="13" max="13" width="10.1640625" customWidth="1"/>
    <col min="14" max="14" width="11.6640625" customWidth="1"/>
    <col min="15" max="16" width="10.6640625" customWidth="1"/>
    <col min="17" max="17" width="9.6640625" bestFit="1" customWidth="1"/>
    <col min="18" max="20" width="11.5" customWidth="1"/>
    <col min="21" max="21" width="18.1640625" customWidth="1"/>
    <col min="22" max="22" width="16.83203125" customWidth="1"/>
    <col min="24" max="24" width="29" customWidth="1"/>
    <col min="27" max="27" width="10.6640625" bestFit="1" customWidth="1"/>
  </cols>
  <sheetData>
    <row r="1" spans="2:27" ht="13.5" thickBot="1" x14ac:dyDescent="0.25"/>
    <row r="2" spans="2:27" ht="96.75" customHeight="1" x14ac:dyDescent="0.2">
      <c r="B2" s="180"/>
      <c r="C2" s="188"/>
      <c r="D2" s="189" t="s">
        <v>6</v>
      </c>
      <c r="E2" s="190"/>
      <c r="F2" s="190"/>
      <c r="G2" s="190"/>
      <c r="H2" s="190"/>
      <c r="I2" s="190"/>
      <c r="J2" s="68" t="s">
        <v>124</v>
      </c>
      <c r="K2" s="83"/>
      <c r="L2" s="83"/>
      <c r="M2" s="83"/>
    </row>
    <row r="3" spans="2:27" ht="72.75" hidden="1" customHeight="1" x14ac:dyDescent="0.2">
      <c r="B3" s="182" t="s">
        <v>5</v>
      </c>
      <c r="C3" s="183"/>
      <c r="D3" s="183"/>
      <c r="E3" s="183"/>
      <c r="F3" s="183"/>
      <c r="G3" s="183"/>
      <c r="H3" s="183"/>
      <c r="I3" s="183"/>
      <c r="J3" s="184"/>
      <c r="K3" s="84"/>
      <c r="L3" s="84"/>
      <c r="M3" s="84"/>
    </row>
    <row r="4" spans="2:27" ht="25.5" customHeight="1" thickBot="1" x14ac:dyDescent="0.25">
      <c r="B4" s="73" t="s">
        <v>93</v>
      </c>
      <c r="C4" s="74" t="s">
        <v>94</v>
      </c>
      <c r="D4" s="139" t="s">
        <v>95</v>
      </c>
      <c r="E4" s="133" t="s">
        <v>105</v>
      </c>
      <c r="F4" s="74" t="s">
        <v>96</v>
      </c>
      <c r="G4" s="74" t="s">
        <v>106</v>
      </c>
      <c r="H4" s="82" t="s">
        <v>107</v>
      </c>
      <c r="I4" s="69" t="s">
        <v>102</v>
      </c>
      <c r="J4" s="70" t="s">
        <v>103</v>
      </c>
      <c r="K4" s="85" t="s">
        <v>111</v>
      </c>
      <c r="L4" s="85" t="s">
        <v>110</v>
      </c>
      <c r="M4" s="85"/>
      <c r="Y4" s="8" t="s">
        <v>4</v>
      </c>
    </row>
    <row r="5" spans="2:27" ht="15.6" customHeight="1" thickBot="1" x14ac:dyDescent="0.25">
      <c r="B5" s="79">
        <v>1</v>
      </c>
      <c r="C5" s="71"/>
      <c r="D5" s="140" t="s">
        <v>97</v>
      </c>
      <c r="E5" s="134"/>
      <c r="F5" s="71"/>
      <c r="G5" s="71"/>
      <c r="H5" s="71"/>
      <c r="I5" s="71"/>
      <c r="J5" s="72"/>
      <c r="K5" s="86"/>
      <c r="L5" s="86"/>
      <c r="M5" s="86"/>
      <c r="Q5" s="4" t="s">
        <v>1</v>
      </c>
      <c r="R5" s="4" t="s">
        <v>3</v>
      </c>
      <c r="S5" s="18" t="s">
        <v>10</v>
      </c>
      <c r="T5" s="4" t="s">
        <v>2</v>
      </c>
      <c r="U5" s="4"/>
      <c r="X5" s="6">
        <f>J13</f>
        <v>37537560</v>
      </c>
      <c r="Y5" s="3">
        <f>(X5/J24)*100</f>
        <v>27.076807699501654</v>
      </c>
    </row>
    <row r="6" spans="2:27" ht="12.75" customHeight="1" thickBot="1" x14ac:dyDescent="0.25">
      <c r="B6" s="80" t="s">
        <v>71</v>
      </c>
      <c r="C6" s="77" t="s">
        <v>86</v>
      </c>
      <c r="D6" s="141" t="s">
        <v>70</v>
      </c>
      <c r="E6" s="144">
        <v>30</v>
      </c>
      <c r="F6" s="77" t="s">
        <v>13</v>
      </c>
      <c r="G6" s="147">
        <v>200</v>
      </c>
      <c r="H6" s="147">
        <f>E6*G6*6</f>
        <v>36000</v>
      </c>
      <c r="I6" s="148">
        <f t="shared" ref="I6:I12" si="0">T6</f>
        <v>360.45181941495997</v>
      </c>
      <c r="J6" s="146">
        <f>H6*I6</f>
        <v>12976265.498938559</v>
      </c>
      <c r="K6" s="89">
        <f t="shared" ref="K6:K11" si="1">E6/5</f>
        <v>6</v>
      </c>
      <c r="L6" s="92">
        <f>J6/J24</f>
        <v>9.3601141249574346E-2</v>
      </c>
      <c r="M6" s="90"/>
      <c r="Q6">
        <v>310.95760000000001</v>
      </c>
      <c r="R6">
        <v>1.1556999999999999</v>
      </c>
      <c r="S6" s="67">
        <f>H30</f>
        <v>1.0029999999999999</v>
      </c>
      <c r="T6" s="5">
        <f>Q6*R6*S6</f>
        <v>360.45181941495997</v>
      </c>
      <c r="U6" s="1">
        <f>T6*H6</f>
        <v>12976265.498938559</v>
      </c>
      <c r="V6" s="1">
        <f>H6*I6</f>
        <v>12976265.498938559</v>
      </c>
      <c r="X6" s="7" t="e">
        <f>#REF!</f>
        <v>#REF!</v>
      </c>
      <c r="Y6" s="3" t="e">
        <f>(X6/J24)*100</f>
        <v>#REF!</v>
      </c>
      <c r="AA6" s="11">
        <f>(J6/J24)*100</f>
        <v>9.360114124957434</v>
      </c>
    </row>
    <row r="7" spans="2:27" ht="13.5" customHeight="1" thickBot="1" x14ac:dyDescent="0.25">
      <c r="B7" s="80" t="s">
        <v>72</v>
      </c>
      <c r="C7" s="77" t="s">
        <v>87</v>
      </c>
      <c r="D7" s="141" t="s">
        <v>69</v>
      </c>
      <c r="E7" s="144">
        <v>30</v>
      </c>
      <c r="F7" s="77" t="s">
        <v>13</v>
      </c>
      <c r="G7" s="147">
        <v>200</v>
      </c>
      <c r="H7" s="147">
        <f>E7*G7*6</f>
        <v>36000</v>
      </c>
      <c r="I7" s="148">
        <f t="shared" si="0"/>
        <v>350.72559602898991</v>
      </c>
      <c r="J7" s="146">
        <f t="shared" ref="J7:J14" si="2">H7*I7</f>
        <v>12626121.457043637</v>
      </c>
      <c r="K7" s="89">
        <f t="shared" si="1"/>
        <v>6</v>
      </c>
      <c r="L7" s="92">
        <f>J7/J24</f>
        <v>9.1075462199173882E-2</v>
      </c>
      <c r="M7" s="90"/>
      <c r="Q7">
        <v>302.56689999999998</v>
      </c>
      <c r="R7">
        <v>1.1556999999999999</v>
      </c>
      <c r="S7" s="67">
        <f>H30</f>
        <v>1.0029999999999999</v>
      </c>
      <c r="T7" s="5">
        <f t="shared" ref="T7:T13" si="3">Q7*R7*S7</f>
        <v>350.72559602898991</v>
      </c>
      <c r="U7" s="1">
        <f t="shared" ref="U7:U17" si="4">T7*H7</f>
        <v>12626121.457043637</v>
      </c>
      <c r="V7" s="1">
        <f t="shared" ref="V7:V17" si="5">H7*I7</f>
        <v>12626121.457043637</v>
      </c>
      <c r="X7" s="7">
        <f>J12</f>
        <v>16212069.330584399</v>
      </c>
      <c r="Y7" s="3">
        <f>(X7/J24)*100</f>
        <v>11.69418267130901</v>
      </c>
      <c r="AA7" s="11">
        <f>(J7/J24)*100</f>
        <v>9.1075462199173884</v>
      </c>
    </row>
    <row r="8" spans="2:27" ht="12.75" customHeight="1" thickBot="1" x14ac:dyDescent="0.25">
      <c r="B8" s="80" t="s">
        <v>73</v>
      </c>
      <c r="C8" s="77" t="s">
        <v>85</v>
      </c>
      <c r="D8" s="141" t="s">
        <v>67</v>
      </c>
      <c r="E8" s="144">
        <v>30</v>
      </c>
      <c r="F8" s="77" t="s">
        <v>13</v>
      </c>
      <c r="G8" s="147">
        <v>200</v>
      </c>
      <c r="H8" s="147">
        <f>E8*G8*6</f>
        <v>36000</v>
      </c>
      <c r="I8" s="148">
        <f t="shared" si="0"/>
        <v>330.95484197138995</v>
      </c>
      <c r="J8" s="146">
        <f t="shared" si="2"/>
        <v>11914374.310970038</v>
      </c>
      <c r="K8" s="89">
        <f t="shared" si="1"/>
        <v>6</v>
      </c>
      <c r="L8" s="92">
        <f>J8/J24</f>
        <v>8.5941446934222204E-2</v>
      </c>
      <c r="M8" s="90"/>
      <c r="Q8">
        <v>285.51089999999999</v>
      </c>
      <c r="R8">
        <v>1.1556999999999999</v>
      </c>
      <c r="S8" s="67">
        <f>H30</f>
        <v>1.0029999999999999</v>
      </c>
      <c r="T8" s="5">
        <f t="shared" si="3"/>
        <v>330.95484197138995</v>
      </c>
      <c r="U8" s="1">
        <f t="shared" si="4"/>
        <v>11914374.310970038</v>
      </c>
      <c r="V8" s="1">
        <f t="shared" si="5"/>
        <v>11914374.310970038</v>
      </c>
      <c r="X8" s="7">
        <f>J7</f>
        <v>12626121.457043637</v>
      </c>
      <c r="Y8" s="3">
        <f>(X8/J24)*100</f>
        <v>9.1075462199173884</v>
      </c>
      <c r="AA8" s="11">
        <f>(J8/J24)*100</f>
        <v>8.594144693422221</v>
      </c>
    </row>
    <row r="9" spans="2:27" ht="12.75" customHeight="1" thickBot="1" x14ac:dyDescent="0.25">
      <c r="B9" s="80" t="s">
        <v>74</v>
      </c>
      <c r="C9" s="77" t="s">
        <v>12</v>
      </c>
      <c r="D9" s="141" t="s">
        <v>68</v>
      </c>
      <c r="E9" s="145">
        <v>30</v>
      </c>
      <c r="F9" s="77" t="s">
        <v>13</v>
      </c>
      <c r="G9" s="147">
        <v>200</v>
      </c>
      <c r="H9" s="147">
        <f t="shared" ref="H9:H18" si="6">E9*G9*6</f>
        <v>36000</v>
      </c>
      <c r="I9" s="148">
        <f t="shared" si="0"/>
        <v>305.10054702399998</v>
      </c>
      <c r="J9" s="146">
        <f>H9*I9</f>
        <v>10983619.692863999</v>
      </c>
      <c r="K9" s="89">
        <f t="shared" si="1"/>
        <v>6</v>
      </c>
      <c r="L9" s="92">
        <f>J9/J24</f>
        <v>7.9227674432791551E-2</v>
      </c>
      <c r="M9" s="90"/>
      <c r="O9">
        <v>308</v>
      </c>
      <c r="P9">
        <f>O9/1.2332</f>
        <v>249.75673045734672</v>
      </c>
      <c r="Q9">
        <f>249.76</f>
        <v>249.76</v>
      </c>
      <c r="R9">
        <v>1.1556999999999999</v>
      </c>
      <c r="S9" s="67">
        <f>H29</f>
        <v>1.0569999999999999</v>
      </c>
      <c r="T9" s="5">
        <f t="shared" si="3"/>
        <v>305.10054702399998</v>
      </c>
      <c r="U9" s="1">
        <f t="shared" si="4"/>
        <v>10983619.692863999</v>
      </c>
      <c r="V9" s="1">
        <f t="shared" si="5"/>
        <v>10983619.692863999</v>
      </c>
      <c r="X9" s="7">
        <f>J11</f>
        <v>14325914.355479999</v>
      </c>
      <c r="Y9" s="3">
        <f>(X9/J24)*100</f>
        <v>10.333650565536546</v>
      </c>
      <c r="AA9" s="11">
        <f>(J9/J24)*100</f>
        <v>7.9227674432791551</v>
      </c>
    </row>
    <row r="10" spans="2:27" ht="15" customHeight="1" thickBot="1" x14ac:dyDescent="0.25">
      <c r="B10" s="80" t="s">
        <v>75</v>
      </c>
      <c r="C10" s="77" t="s">
        <v>88</v>
      </c>
      <c r="D10" s="141" t="s">
        <v>65</v>
      </c>
      <c r="E10" s="144">
        <v>30</v>
      </c>
      <c r="F10" s="77" t="s">
        <v>13</v>
      </c>
      <c r="G10" s="147">
        <v>200</v>
      </c>
      <c r="H10" s="147">
        <f>E10*G10*6</f>
        <v>36000</v>
      </c>
      <c r="I10" s="148">
        <f>T10</f>
        <v>221.07194447701994</v>
      </c>
      <c r="J10" s="146">
        <f t="shared" si="2"/>
        <v>7958590.0011727177</v>
      </c>
      <c r="K10" s="89">
        <f t="shared" si="1"/>
        <v>6</v>
      </c>
      <c r="L10" s="92">
        <f>J10/J24</f>
        <v>5.7407357063413364E-2</v>
      </c>
      <c r="M10" s="90"/>
      <c r="Q10">
        <v>190.71619999999999</v>
      </c>
      <c r="R10">
        <v>1.1556999999999999</v>
      </c>
      <c r="S10" s="67">
        <f>H30</f>
        <v>1.0029999999999999</v>
      </c>
      <c r="T10" s="5">
        <f t="shared" si="3"/>
        <v>221.07194447701994</v>
      </c>
      <c r="U10" s="1">
        <f>T10*H10</f>
        <v>7958590.0011727177</v>
      </c>
      <c r="V10" s="1">
        <f t="shared" si="5"/>
        <v>7958590.0011727177</v>
      </c>
      <c r="X10" s="7">
        <f>J6</f>
        <v>12976265.498938559</v>
      </c>
      <c r="Y10" s="3">
        <f>(X10/J24)*100</f>
        <v>9.360114124957434</v>
      </c>
      <c r="AA10" s="11">
        <f>(J10/J24)*100</f>
        <v>5.7407357063413365</v>
      </c>
    </row>
    <row r="11" spans="2:27" ht="30.75" customHeight="1" thickBot="1" x14ac:dyDescent="0.25">
      <c r="B11" s="80" t="s">
        <v>76</v>
      </c>
      <c r="C11" s="77" t="s">
        <v>121</v>
      </c>
      <c r="D11" s="141" t="s">
        <v>120</v>
      </c>
      <c r="E11" s="144">
        <v>30</v>
      </c>
      <c r="F11" s="77" t="s">
        <v>13</v>
      </c>
      <c r="G11" s="147">
        <v>200</v>
      </c>
      <c r="H11" s="147">
        <f t="shared" ref="H11" si="7">E11*G11*6</f>
        <v>36000</v>
      </c>
      <c r="I11" s="148">
        <f t="shared" si="0"/>
        <v>397.94206542999996</v>
      </c>
      <c r="J11" s="146">
        <f t="shared" si="2"/>
        <v>14325914.355479999</v>
      </c>
      <c r="K11" s="89">
        <f t="shared" si="1"/>
        <v>6</v>
      </c>
      <c r="L11" s="92">
        <f>J11/J24</f>
        <v>0.10333650565536547</v>
      </c>
      <c r="M11" s="90"/>
      <c r="Q11">
        <v>343.3</v>
      </c>
      <c r="R11">
        <v>1.1556999999999999</v>
      </c>
      <c r="S11" s="67">
        <f>H30</f>
        <v>1.0029999999999999</v>
      </c>
      <c r="T11" s="5">
        <f>Q11*R11*S11</f>
        <v>397.94206542999996</v>
      </c>
      <c r="U11" s="1">
        <f t="shared" si="4"/>
        <v>14325914.355479999</v>
      </c>
      <c r="V11" s="1">
        <f t="shared" si="5"/>
        <v>14325914.355479999</v>
      </c>
      <c r="X11" s="7">
        <f>J9</f>
        <v>10983619.692863999</v>
      </c>
      <c r="Y11" s="3">
        <f>(X11/J24)*100</f>
        <v>7.9227674432791551</v>
      </c>
      <c r="AA11" s="11">
        <f>(J11/J24)*100</f>
        <v>10.333650565536546</v>
      </c>
    </row>
    <row r="12" spans="2:27" ht="15.75" thickBot="1" x14ac:dyDescent="0.25">
      <c r="B12" s="80" t="s">
        <v>77</v>
      </c>
      <c r="C12" s="77" t="s">
        <v>90</v>
      </c>
      <c r="D12" s="141" t="s">
        <v>108</v>
      </c>
      <c r="E12" s="144">
        <v>30</v>
      </c>
      <c r="F12" s="77" t="s">
        <v>13</v>
      </c>
      <c r="G12" s="147">
        <v>200</v>
      </c>
      <c r="H12" s="147">
        <f t="shared" si="6"/>
        <v>36000</v>
      </c>
      <c r="I12" s="148">
        <f t="shared" si="0"/>
        <v>450.33525918289996</v>
      </c>
      <c r="J12" s="146">
        <f>H12*I12</f>
        <v>16212069.330584399</v>
      </c>
      <c r="K12" s="89">
        <f t="shared" ref="K12:K18" si="8">E12/5</f>
        <v>6</v>
      </c>
      <c r="L12" s="92">
        <f>J12/J24</f>
        <v>0.1169418267130901</v>
      </c>
      <c r="M12" s="90"/>
      <c r="Q12">
        <v>388.49900000000002</v>
      </c>
      <c r="R12">
        <v>1.1556999999999999</v>
      </c>
      <c r="S12" s="67">
        <f>H30</f>
        <v>1.0029999999999999</v>
      </c>
      <c r="T12" s="5">
        <f>Q12*R12*S12</f>
        <v>450.33525918289996</v>
      </c>
      <c r="U12" s="1">
        <f t="shared" si="4"/>
        <v>16212069.330584399</v>
      </c>
      <c r="V12" s="1">
        <f>H12*I12</f>
        <v>16212069.330584399</v>
      </c>
      <c r="X12" s="7">
        <f>J10</f>
        <v>7958590.0011727177</v>
      </c>
      <c r="Y12" s="3">
        <f>(X12/J24)*100</f>
        <v>5.7407357063413365</v>
      </c>
      <c r="AA12" s="11">
        <f>(J12/J24)*100</f>
        <v>11.69418267130901</v>
      </c>
    </row>
    <row r="13" spans="2:27" ht="16.5" customHeight="1" thickBot="1" x14ac:dyDescent="0.25">
      <c r="B13" s="80" t="s">
        <v>104</v>
      </c>
      <c r="C13" s="77" t="s">
        <v>91</v>
      </c>
      <c r="D13" s="141" t="s">
        <v>109</v>
      </c>
      <c r="E13" s="144">
        <v>90</v>
      </c>
      <c r="F13" s="77" t="s">
        <v>13</v>
      </c>
      <c r="G13" s="147">
        <v>200</v>
      </c>
      <c r="H13" s="147">
        <f>E13*G13*6</f>
        <v>108000</v>
      </c>
      <c r="I13" s="148">
        <v>347.57</v>
      </c>
      <c r="J13" s="146">
        <f t="shared" si="2"/>
        <v>37537560</v>
      </c>
      <c r="K13" s="89">
        <f t="shared" si="8"/>
        <v>18</v>
      </c>
      <c r="L13" s="92">
        <f>J13/J24</f>
        <v>0.27076807699501654</v>
      </c>
      <c r="M13" s="90"/>
      <c r="Q13">
        <v>304.41609999999997</v>
      </c>
      <c r="R13">
        <v>1.1556999999999999</v>
      </c>
      <c r="S13" s="67">
        <f>H30</f>
        <v>1.0029999999999999</v>
      </c>
      <c r="T13" s="5">
        <f t="shared" si="3"/>
        <v>352.86912783030994</v>
      </c>
      <c r="U13" s="1">
        <f t="shared" si="4"/>
        <v>38109865.805673473</v>
      </c>
      <c r="V13" s="1">
        <f t="shared" si="5"/>
        <v>37537560</v>
      </c>
      <c r="X13" s="7">
        <f>J17</f>
        <v>6054966.8415381601</v>
      </c>
      <c r="Y13" s="3">
        <f>(X13/J24)*100</f>
        <v>4.3676033496899542</v>
      </c>
      <c r="AA13" s="11">
        <f>(J13/J24)*100</f>
        <v>27.076807699501654</v>
      </c>
    </row>
    <row r="14" spans="2:27" ht="15.75" customHeight="1" thickBot="1" x14ac:dyDescent="0.25">
      <c r="B14" s="80" t="s">
        <v>78</v>
      </c>
      <c r="C14" s="77" t="s">
        <v>20</v>
      </c>
      <c r="D14" s="142" t="s">
        <v>21</v>
      </c>
      <c r="E14" s="144">
        <v>5</v>
      </c>
      <c r="F14" s="77" t="s">
        <v>13</v>
      </c>
      <c r="G14" s="147">
        <v>200</v>
      </c>
      <c r="H14" s="147">
        <f t="shared" si="6"/>
        <v>6000</v>
      </c>
      <c r="I14" s="148">
        <f t="shared" ref="I14:I19" si="9">T14</f>
        <v>371.08068622169992</v>
      </c>
      <c r="J14" s="146">
        <f t="shared" si="2"/>
        <v>2226484.1173301996</v>
      </c>
      <c r="K14" s="89">
        <f t="shared" si="8"/>
        <v>1</v>
      </c>
      <c r="L14" s="92">
        <f>J14/J24</f>
        <v>1.6060202711882309E-2</v>
      </c>
      <c r="M14" s="90"/>
      <c r="Q14">
        <v>320.12700000000001</v>
      </c>
      <c r="R14">
        <v>1.1556999999999999</v>
      </c>
      <c r="S14" s="67">
        <f>S13</f>
        <v>1.0029999999999999</v>
      </c>
      <c r="T14" s="5">
        <f t="shared" ref="T14:T19" si="10">Q14*R14*S14</f>
        <v>371.08068622169992</v>
      </c>
      <c r="U14" s="1"/>
      <c r="V14" s="1"/>
      <c r="X14" s="7">
        <f>J14</f>
        <v>2226484.1173301996</v>
      </c>
      <c r="Y14" s="3">
        <f>(X14/J24)*100</f>
        <v>1.606020271188231</v>
      </c>
      <c r="AA14" s="11"/>
    </row>
    <row r="15" spans="2:27" ht="18" customHeight="1" thickBot="1" x14ac:dyDescent="0.25">
      <c r="B15" s="80" t="s">
        <v>79</v>
      </c>
      <c r="C15" s="77" t="s">
        <v>18</v>
      </c>
      <c r="D15" s="142" t="s">
        <v>17</v>
      </c>
      <c r="E15" s="144">
        <v>5</v>
      </c>
      <c r="F15" s="77" t="s">
        <v>13</v>
      </c>
      <c r="G15" s="147">
        <v>200</v>
      </c>
      <c r="H15" s="147">
        <f t="shared" si="6"/>
        <v>6000</v>
      </c>
      <c r="I15" s="148">
        <f t="shared" si="9"/>
        <v>183.80854746344997</v>
      </c>
      <c r="J15" s="146">
        <f t="shared" ref="J15:J19" si="11">H15*I15</f>
        <v>1102851.2847806998</v>
      </c>
      <c r="K15" s="89">
        <f t="shared" si="8"/>
        <v>1</v>
      </c>
      <c r="L15" s="92">
        <f>J15/J24</f>
        <v>7.9551500308372037E-3</v>
      </c>
      <c r="M15" s="90"/>
      <c r="Q15">
        <v>158.56950000000001</v>
      </c>
      <c r="R15">
        <v>1.1556999999999999</v>
      </c>
      <c r="S15" s="67">
        <f>S14</f>
        <v>1.0029999999999999</v>
      </c>
      <c r="T15" s="5">
        <f t="shared" si="10"/>
        <v>183.80854746344997</v>
      </c>
      <c r="U15" s="1"/>
      <c r="V15" s="1"/>
      <c r="X15" s="7">
        <f>J21</f>
        <v>1778251.6932878362</v>
      </c>
      <c r="Y15" s="3">
        <f>(X15/J24)*100</f>
        <v>1.282698692735168</v>
      </c>
      <c r="AA15" s="11"/>
    </row>
    <row r="16" spans="2:27" ht="15.75" customHeight="1" thickBot="1" x14ac:dyDescent="0.25">
      <c r="B16" s="80" t="s">
        <v>80</v>
      </c>
      <c r="C16" s="78" t="s">
        <v>22</v>
      </c>
      <c r="D16" s="142" t="s">
        <v>19</v>
      </c>
      <c r="E16" s="144">
        <v>5</v>
      </c>
      <c r="F16" s="77" t="s">
        <v>13</v>
      </c>
      <c r="G16" s="147">
        <v>200</v>
      </c>
      <c r="H16" s="147">
        <f>E16*G16*6</f>
        <v>6000</v>
      </c>
      <c r="I16" s="148">
        <f>T16</f>
        <v>253.16079889150174</v>
      </c>
      <c r="J16" s="146">
        <f>H16*I16</f>
        <v>1518964.7933490104</v>
      </c>
      <c r="K16" s="89">
        <f t="shared" si="8"/>
        <v>1</v>
      </c>
      <c r="L16" s="92">
        <f>J16/J24</f>
        <v>1.095668381531043E-2</v>
      </c>
      <c r="M16" s="90"/>
      <c r="N16">
        <v>255.57</v>
      </c>
      <c r="O16">
        <f>N16/1.2332</f>
        <v>207.24132338631202</v>
      </c>
      <c r="Q16" s="11">
        <f>O16</f>
        <v>207.24132338631202</v>
      </c>
      <c r="R16">
        <v>1.1556999999999999</v>
      </c>
      <c r="S16" s="67">
        <f>H29</f>
        <v>1.0569999999999999</v>
      </c>
      <c r="T16" s="5">
        <f t="shared" si="10"/>
        <v>253.16079889150174</v>
      </c>
      <c r="U16" s="1"/>
      <c r="V16" s="1"/>
      <c r="X16" s="7">
        <f>J16</f>
        <v>1518964.7933490104</v>
      </c>
      <c r="Y16" s="3">
        <f>(X16/J24)*100</f>
        <v>1.0956683815310431</v>
      </c>
      <c r="AA16" s="11"/>
    </row>
    <row r="17" spans="2:27" ht="12.75" customHeight="1" thickBot="1" x14ac:dyDescent="0.25">
      <c r="B17" s="80" t="s">
        <v>81</v>
      </c>
      <c r="C17" s="77" t="s">
        <v>92</v>
      </c>
      <c r="D17" s="142" t="s">
        <v>16</v>
      </c>
      <c r="E17" s="144">
        <v>30</v>
      </c>
      <c r="F17" s="77" t="s">
        <v>13</v>
      </c>
      <c r="G17" s="147">
        <v>200</v>
      </c>
      <c r="H17" s="147">
        <f>E17*G17*6</f>
        <v>36000</v>
      </c>
      <c r="I17" s="148">
        <f t="shared" si="9"/>
        <v>168.19352337606</v>
      </c>
      <c r="J17" s="146">
        <f t="shared" si="11"/>
        <v>6054966.8415381601</v>
      </c>
      <c r="K17" s="89">
        <f t="shared" si="8"/>
        <v>6</v>
      </c>
      <c r="L17" s="92">
        <f>J17/J24</f>
        <v>4.3676033496899545E-2</v>
      </c>
      <c r="M17" s="90"/>
      <c r="Q17">
        <v>145.0986</v>
      </c>
      <c r="R17">
        <v>1.1556999999999999</v>
      </c>
      <c r="S17" s="67">
        <f>H30</f>
        <v>1.0029999999999999</v>
      </c>
      <c r="T17" s="5">
        <f t="shared" si="10"/>
        <v>168.19352337606</v>
      </c>
      <c r="U17" s="1">
        <f t="shared" si="4"/>
        <v>6054966.8415381601</v>
      </c>
      <c r="V17" s="1">
        <f t="shared" si="5"/>
        <v>6054966.8415381601</v>
      </c>
      <c r="X17" s="7">
        <f>J22</f>
        <v>869510.91188893921</v>
      </c>
      <c r="Y17" s="3">
        <f>(X17/J24)*100</f>
        <v>0.62720058932533518</v>
      </c>
      <c r="AA17" s="11">
        <f>(J17/J24)*100</f>
        <v>4.3676033496899542</v>
      </c>
    </row>
    <row r="18" spans="2:27" ht="19.5" customHeight="1" thickBot="1" x14ac:dyDescent="0.25">
      <c r="B18" s="80" t="s">
        <v>82</v>
      </c>
      <c r="C18" s="78" t="s">
        <v>28</v>
      </c>
      <c r="D18" s="142" t="s">
        <v>29</v>
      </c>
      <c r="E18" s="144">
        <v>5</v>
      </c>
      <c r="F18" s="77" t="s">
        <v>13</v>
      </c>
      <c r="G18" s="147">
        <v>200</v>
      </c>
      <c r="H18" s="147">
        <f t="shared" si="6"/>
        <v>6000</v>
      </c>
      <c r="I18" s="148">
        <f t="shared" si="9"/>
        <v>31.111444000000002</v>
      </c>
      <c r="J18" s="146">
        <f t="shared" si="11"/>
        <v>186668.66400000002</v>
      </c>
      <c r="K18" s="89">
        <f t="shared" si="8"/>
        <v>1</v>
      </c>
      <c r="L18" s="92">
        <f>J18/J24</f>
        <v>1.346489094829522E-3</v>
      </c>
      <c r="M18" s="90"/>
      <c r="Q18">
        <v>26.92</v>
      </c>
      <c r="R18">
        <v>1.1556999999999999</v>
      </c>
      <c r="S18" s="67">
        <v>1</v>
      </c>
      <c r="T18" s="5">
        <f t="shared" si="10"/>
        <v>31.111444000000002</v>
      </c>
      <c r="U18" s="1"/>
      <c r="V18" s="1"/>
      <c r="X18" s="9" t="e">
        <f>#REF!</f>
        <v>#REF!</v>
      </c>
      <c r="Y18" s="3" t="e">
        <f>(X18/J24)*100</f>
        <v>#REF!</v>
      </c>
      <c r="AA18" s="11"/>
    </row>
    <row r="19" spans="2:27" ht="12.75" customHeight="1" thickBot="1" x14ac:dyDescent="0.25">
      <c r="B19" s="80" t="s">
        <v>83</v>
      </c>
      <c r="C19" s="76" t="s">
        <v>26</v>
      </c>
      <c r="D19" s="142" t="s">
        <v>27</v>
      </c>
      <c r="E19" s="144">
        <v>5</v>
      </c>
      <c r="F19" s="77" t="s">
        <v>13</v>
      </c>
      <c r="G19" s="147">
        <v>200</v>
      </c>
      <c r="H19" s="147">
        <f>E19*G19*6</f>
        <v>6000</v>
      </c>
      <c r="I19" s="148">
        <f t="shared" si="9"/>
        <v>39.640105505000001</v>
      </c>
      <c r="J19" s="146">
        <f t="shared" si="11"/>
        <v>237840.63303</v>
      </c>
      <c r="K19" s="89">
        <f>E19/5</f>
        <v>1</v>
      </c>
      <c r="L19" s="92">
        <f>J19/J24</f>
        <v>1.7156056716741981E-3</v>
      </c>
      <c r="M19" s="90"/>
      <c r="Q19">
        <v>32.450000000000003</v>
      </c>
      <c r="R19">
        <v>1.1556999999999999</v>
      </c>
      <c r="S19" s="67">
        <f>S16</f>
        <v>1.0569999999999999</v>
      </c>
      <c r="T19" s="5">
        <f t="shared" si="10"/>
        <v>39.640105505000001</v>
      </c>
      <c r="U19" s="1"/>
      <c r="V19" s="1"/>
      <c r="X19" s="9">
        <f>J19</f>
        <v>237840.63303</v>
      </c>
      <c r="Y19" s="3">
        <f>(X19/J24)*100</f>
        <v>0.1715605671674198</v>
      </c>
      <c r="AA19" s="11"/>
    </row>
    <row r="20" spans="2:27" ht="15.6" customHeight="1" thickBot="1" x14ac:dyDescent="0.25">
      <c r="B20" s="79">
        <v>2</v>
      </c>
      <c r="C20" s="71"/>
      <c r="D20" s="140" t="s">
        <v>98</v>
      </c>
      <c r="E20" s="134"/>
      <c r="F20" s="71"/>
      <c r="G20" s="149"/>
      <c r="H20" s="149"/>
      <c r="I20" s="150"/>
      <c r="J20" s="174"/>
      <c r="K20" s="86"/>
      <c r="L20" s="86"/>
      <c r="M20" s="87"/>
      <c r="T20" s="5"/>
      <c r="U20" s="3">
        <f>SUM(U6:U17)</f>
        <v>131161787.294265</v>
      </c>
      <c r="X20" s="9">
        <f>J18</f>
        <v>186668.66400000002</v>
      </c>
      <c r="Y20" s="3">
        <f>(X20/J24)*100</f>
        <v>0.13464890948295222</v>
      </c>
      <c r="AA20" s="11">
        <f>(J20/J24)*100</f>
        <v>0</v>
      </c>
    </row>
    <row r="21" spans="2:27" ht="40.5" customHeight="1" thickBot="1" x14ac:dyDescent="0.25">
      <c r="B21" s="81" t="s">
        <v>84</v>
      </c>
      <c r="C21" s="78" t="s">
        <v>23</v>
      </c>
      <c r="D21" s="142" t="s">
        <v>99</v>
      </c>
      <c r="E21" s="135"/>
      <c r="F21" s="78" t="s">
        <v>13</v>
      </c>
      <c r="G21" s="147"/>
      <c r="H21" s="78">
        <f>8*2*(E6+E8+E10+E12+E14+E15+E17)</f>
        <v>2560</v>
      </c>
      <c r="I21" s="148">
        <f>T21</f>
        <v>694.62956769056098</v>
      </c>
      <c r="J21" s="146">
        <f>H21*I21</f>
        <v>1778251.6932878362</v>
      </c>
      <c r="K21" s="87"/>
      <c r="L21" s="87"/>
      <c r="M21" s="87"/>
      <c r="N21">
        <v>701.24</v>
      </c>
      <c r="O21">
        <f>N21/1.2332</f>
        <v>568.63444696723968</v>
      </c>
      <c r="Q21" s="11">
        <f>O21</f>
        <v>568.63444696723968</v>
      </c>
      <c r="R21">
        <v>1.1556999999999999</v>
      </c>
      <c r="S21" s="67">
        <f>H29</f>
        <v>1.0569999999999999</v>
      </c>
      <c r="T21" s="5">
        <f>Q21*R21*S21</f>
        <v>694.62956769056098</v>
      </c>
      <c r="U21" s="1">
        <f>T21*H21</f>
        <v>1778251.6932878362</v>
      </c>
      <c r="V21" s="1">
        <f>H21*I21</f>
        <v>1778251.6932878362</v>
      </c>
      <c r="X21" s="9">
        <f>J23</f>
        <v>123571.23610548166</v>
      </c>
      <c r="Y21" s="3">
        <f>(X21/J24)*100</f>
        <v>8.9135111531432581E-2</v>
      </c>
      <c r="AA21" s="11">
        <f>(J21/J24)*100</f>
        <v>1.282698692735168</v>
      </c>
    </row>
    <row r="22" spans="2:27" ht="30" customHeight="1" thickBot="1" x14ac:dyDescent="0.25">
      <c r="B22" s="81" t="s">
        <v>14</v>
      </c>
      <c r="C22" s="78" t="s">
        <v>24</v>
      </c>
      <c r="D22" s="142" t="s">
        <v>100</v>
      </c>
      <c r="E22" s="135"/>
      <c r="F22" s="78" t="s">
        <v>13</v>
      </c>
      <c r="G22" s="147"/>
      <c r="H22" s="78">
        <f>8*2*(E13+E7)</f>
        <v>1920</v>
      </c>
      <c r="I22" s="148">
        <f t="shared" ref="I22:I23" si="12">T22</f>
        <v>452.87026660882253</v>
      </c>
      <c r="J22" s="146">
        <f t="shared" ref="J22:J23" si="13">H22*I22</f>
        <v>869510.91188893921</v>
      </c>
      <c r="K22" s="87"/>
      <c r="L22" s="87"/>
      <c r="M22" s="87"/>
      <c r="N22">
        <v>457.18</v>
      </c>
      <c r="O22">
        <f>N22/1.2332</f>
        <v>370.72656503405773</v>
      </c>
      <c r="Q22" s="11">
        <f t="shared" ref="Q22:Q23" si="14">O22</f>
        <v>370.72656503405773</v>
      </c>
      <c r="R22">
        <v>1.1556999999999999</v>
      </c>
      <c r="S22" s="67">
        <f>H29</f>
        <v>1.0569999999999999</v>
      </c>
      <c r="T22" s="5">
        <f>Q22*R22*S22</f>
        <v>452.87026660882253</v>
      </c>
      <c r="U22" s="1">
        <f t="shared" ref="U22" si="15">T22*H22</f>
        <v>869510.91188893921</v>
      </c>
      <c r="V22" s="1">
        <f t="shared" ref="V22" si="16">H22*I22</f>
        <v>869510.91188893921</v>
      </c>
      <c r="X22" s="7"/>
      <c r="Y22" s="3">
        <f>(X22/J24)*100</f>
        <v>0</v>
      </c>
      <c r="AA22" s="11">
        <f>(J22/J24)*100</f>
        <v>0.62720058932533518</v>
      </c>
    </row>
    <row r="23" spans="2:27" ht="26.25" customHeight="1" x14ac:dyDescent="0.2">
      <c r="B23" s="81" t="s">
        <v>15</v>
      </c>
      <c r="C23" s="78" t="s">
        <v>25</v>
      </c>
      <c r="D23" s="142" t="s">
        <v>122</v>
      </c>
      <c r="E23" s="135"/>
      <c r="F23" s="78" t="s">
        <v>13</v>
      </c>
      <c r="G23" s="147"/>
      <c r="H23" s="78">
        <f>8*2*E9</f>
        <v>480</v>
      </c>
      <c r="I23" s="148">
        <f t="shared" si="12"/>
        <v>257.44007521975345</v>
      </c>
      <c r="J23" s="146">
        <f t="shared" si="13"/>
        <v>123571.23610548166</v>
      </c>
      <c r="K23" s="87"/>
      <c r="L23" s="87"/>
      <c r="M23" s="87"/>
      <c r="N23">
        <v>259.89</v>
      </c>
      <c r="O23">
        <f>N23/1.2332</f>
        <v>210.74440480051896</v>
      </c>
      <c r="Q23" s="11">
        <f t="shared" si="14"/>
        <v>210.74440480051896</v>
      </c>
      <c r="R23">
        <v>1.1556999999999999</v>
      </c>
      <c r="S23" s="67">
        <f>H29</f>
        <v>1.0569999999999999</v>
      </c>
      <c r="T23" s="5">
        <f>Q23*R23*S23</f>
        <v>257.44007521975345</v>
      </c>
      <c r="U23" s="1">
        <f>T23*H23</f>
        <v>123571.23610548166</v>
      </c>
      <c r="V23" s="1">
        <f>H23*I23</f>
        <v>123571.23610548166</v>
      </c>
      <c r="X23" s="10" t="e">
        <f>SUM(X5:X22)</f>
        <v>#REF!</v>
      </c>
      <c r="Y23" s="3" t="e">
        <f>SUM(Y5:Y22)</f>
        <v>#REF!</v>
      </c>
      <c r="AA23" s="11">
        <f>(J23/J24)*100</f>
        <v>8.9135111531432581E-2</v>
      </c>
    </row>
    <row r="24" spans="2:27" ht="16.5" customHeight="1" thickBot="1" x14ac:dyDescent="0.25">
      <c r="B24" s="185" t="s">
        <v>0</v>
      </c>
      <c r="C24" s="186"/>
      <c r="D24" s="186"/>
      <c r="E24" s="186"/>
      <c r="F24" s="186"/>
      <c r="G24" s="186"/>
      <c r="H24" s="186"/>
      <c r="I24" s="187"/>
      <c r="J24" s="151">
        <f>J6+J7+J8+J9+J10+J11+J12+J13+J17+J15+J16+J14+J18+J19+J21+J22+J23</f>
        <v>138633624.82236367</v>
      </c>
      <c r="K24" s="88"/>
      <c r="L24" s="88"/>
      <c r="M24" s="88"/>
      <c r="U24" s="3">
        <f>SUM(U21:U23)</f>
        <v>2771333.8412822569</v>
      </c>
      <c r="V24" s="3">
        <f>SUM(V6:V23)</f>
        <v>133360815.32987379</v>
      </c>
    </row>
    <row r="25" spans="2:27" ht="12.75" customHeight="1" x14ac:dyDescent="0.2">
      <c r="B25" s="19"/>
      <c r="C25" s="19"/>
      <c r="D25" s="143"/>
      <c r="E25" s="19"/>
      <c r="F25" s="19"/>
      <c r="G25" s="19"/>
      <c r="H25" s="19"/>
      <c r="I25" s="91"/>
      <c r="J25" s="19"/>
      <c r="K25" s="19"/>
      <c r="L25" s="19"/>
      <c r="M25" s="19"/>
    </row>
    <row r="26" spans="2:27" ht="12.75" customHeight="1" x14ac:dyDescent="0.2">
      <c r="B26" s="19"/>
      <c r="C26" s="19"/>
      <c r="D26" s="143"/>
      <c r="E26" s="19"/>
      <c r="F26" s="19"/>
      <c r="G26" s="19"/>
      <c r="H26" s="19"/>
      <c r="I26" s="19"/>
      <c r="J26" s="19"/>
      <c r="K26" s="19"/>
      <c r="L26" s="19"/>
      <c r="M26" s="19"/>
    </row>
    <row r="27" spans="2:27" ht="14.25" customHeight="1" x14ac:dyDescent="0.2">
      <c r="B27" s="13"/>
      <c r="C27" s="13"/>
      <c r="D27" s="153" t="s">
        <v>7</v>
      </c>
      <c r="E27" s="191" t="s">
        <v>8</v>
      </c>
      <c r="F27" s="191"/>
      <c r="G27" s="191"/>
      <c r="H27" s="191"/>
      <c r="I27" s="20"/>
      <c r="J27" s="19"/>
      <c r="K27" s="19"/>
      <c r="L27" s="19"/>
      <c r="M27" s="19"/>
      <c r="N27">
        <f>300*12</f>
        <v>3600</v>
      </c>
      <c r="O27">
        <f>N27*65</f>
        <v>234000</v>
      </c>
    </row>
    <row r="28" spans="2:27" ht="14.25" customHeight="1" x14ac:dyDescent="0.2">
      <c r="B28" s="13"/>
      <c r="C28" s="13"/>
      <c r="D28" s="152" t="s">
        <v>9</v>
      </c>
      <c r="E28" s="136">
        <v>45292</v>
      </c>
      <c r="F28" s="14">
        <v>45566</v>
      </c>
      <c r="G28" s="15">
        <v>45597</v>
      </c>
      <c r="H28" s="16" t="s">
        <v>10</v>
      </c>
      <c r="I28" s="20"/>
      <c r="J28" s="19"/>
      <c r="K28" s="19"/>
      <c r="L28" s="19"/>
      <c r="M28" s="19"/>
    </row>
    <row r="29" spans="2:27" ht="15" customHeight="1" x14ac:dyDescent="0.2">
      <c r="B29" s="13"/>
      <c r="C29" s="13"/>
      <c r="D29" s="132" t="s">
        <v>11</v>
      </c>
      <c r="E29" s="137">
        <v>1091.25</v>
      </c>
      <c r="F29" s="21"/>
      <c r="G29" s="22">
        <v>1153.7249999999999</v>
      </c>
      <c r="H29" s="23">
        <f>TRUNC(G29/E29,3)</f>
        <v>1.0569999999999999</v>
      </c>
      <c r="I29" s="20"/>
      <c r="J29" s="19"/>
      <c r="K29" s="19"/>
      <c r="L29" s="19"/>
      <c r="M29" s="19"/>
    </row>
    <row r="30" spans="2:27" ht="15" customHeight="1" x14ac:dyDescent="0.2">
      <c r="B30" s="13"/>
      <c r="C30" s="13"/>
      <c r="D30" s="132" t="s">
        <v>11</v>
      </c>
      <c r="E30" s="137"/>
      <c r="F30" s="21">
        <v>1149.17</v>
      </c>
      <c r="G30" s="22">
        <v>1153.7249999999999</v>
      </c>
      <c r="H30" s="17">
        <f>TRUNC(G30/F30,3)</f>
        <v>1.0029999999999999</v>
      </c>
      <c r="I30" s="20"/>
      <c r="J30" s="19"/>
      <c r="K30" s="19"/>
      <c r="L30" s="19"/>
      <c r="M30" s="19"/>
      <c r="U30" s="2" t="e">
        <f>J24/#REF!</f>
        <v>#REF!</v>
      </c>
    </row>
    <row r="31" spans="2:27" ht="12.75" customHeight="1" x14ac:dyDescent="0.2">
      <c r="E31" s="19"/>
      <c r="F31" s="19"/>
      <c r="I31" s="19"/>
      <c r="J31" s="24"/>
      <c r="K31" s="24"/>
      <c r="L31" s="24"/>
      <c r="M31" s="24"/>
      <c r="N31" s="12"/>
      <c r="O31" s="12"/>
      <c r="P31" s="12"/>
      <c r="Q31">
        <f>H11/2</f>
        <v>18000</v>
      </c>
    </row>
    <row r="32" spans="2:27" x14ac:dyDescent="0.2">
      <c r="J32" s="12"/>
      <c r="K32" s="12"/>
      <c r="L32" s="12"/>
      <c r="M32" s="12"/>
      <c r="N32" s="12"/>
      <c r="O32" s="12"/>
      <c r="P32" s="12"/>
    </row>
    <row r="34" spans="10:16" x14ac:dyDescent="0.2">
      <c r="J34" s="12"/>
      <c r="K34" s="12"/>
      <c r="L34" s="12"/>
      <c r="M34" s="12"/>
      <c r="N34" s="12"/>
      <c r="O34" s="12"/>
      <c r="P34" s="12"/>
    </row>
    <row r="35" spans="10:16" x14ac:dyDescent="0.2">
      <c r="J35" s="12"/>
      <c r="K35" s="12"/>
      <c r="L35" s="12"/>
      <c r="M35" s="12"/>
      <c r="N35" s="12"/>
      <c r="O35" s="12"/>
      <c r="P35" s="12"/>
    </row>
    <row r="36" spans="10:16" x14ac:dyDescent="0.2">
      <c r="K36" s="12"/>
      <c r="L36" s="12"/>
      <c r="M36" s="12"/>
      <c r="N36" s="12"/>
      <c r="O36" s="12"/>
      <c r="P36" s="12"/>
    </row>
    <row r="37" spans="10:16" x14ac:dyDescent="0.2">
      <c r="L37" s="12"/>
      <c r="M37" s="12"/>
      <c r="N37" s="12"/>
      <c r="O37" s="12"/>
      <c r="P37" s="12"/>
    </row>
    <row r="40" spans="10:16" x14ac:dyDescent="0.2">
      <c r="L40" s="12"/>
      <c r="M40" s="12"/>
      <c r="N40" s="12"/>
      <c r="O40" s="12"/>
      <c r="P40" s="12"/>
    </row>
    <row r="41" spans="10:16" x14ac:dyDescent="0.2">
      <c r="L41" s="12"/>
      <c r="M41" s="12"/>
      <c r="N41" s="12"/>
      <c r="O41" s="12"/>
      <c r="P41" s="12"/>
    </row>
    <row r="42" spans="10:16" x14ac:dyDescent="0.2">
      <c r="L42" s="12"/>
      <c r="M42" s="12"/>
      <c r="N42" s="12"/>
      <c r="O42" s="12"/>
      <c r="P42" s="12"/>
    </row>
    <row r="43" spans="10:16" x14ac:dyDescent="0.2">
      <c r="L43" s="12"/>
      <c r="M43" s="12"/>
      <c r="N43" s="12"/>
      <c r="O43" s="12"/>
      <c r="P43" s="12"/>
    </row>
    <row r="44" spans="10:16" x14ac:dyDescent="0.2">
      <c r="L44" s="12"/>
      <c r="M44" s="12"/>
      <c r="N44" s="12"/>
      <c r="O44" s="12"/>
      <c r="P44" s="12"/>
    </row>
    <row r="45" spans="10:16" x14ac:dyDescent="0.2">
      <c r="L45" s="12"/>
      <c r="M45" s="12"/>
      <c r="N45" s="12"/>
      <c r="O45" s="12"/>
      <c r="P45" s="12"/>
    </row>
    <row r="46" spans="10:16" x14ac:dyDescent="0.2">
      <c r="L46" s="12"/>
      <c r="M46" s="12"/>
      <c r="N46" s="12"/>
      <c r="O46" s="12"/>
      <c r="P46" s="12"/>
    </row>
    <row r="47" spans="10:16" x14ac:dyDescent="0.2">
      <c r="L47" s="12"/>
      <c r="M47" s="12"/>
      <c r="N47" s="12"/>
      <c r="O47" s="12"/>
      <c r="P47" s="12"/>
    </row>
    <row r="48" spans="10:16" x14ac:dyDescent="0.2">
      <c r="L48" s="12"/>
      <c r="M48" s="12"/>
      <c r="N48" s="12"/>
      <c r="O48" s="12"/>
      <c r="P48" s="12"/>
    </row>
    <row r="50" spans="12:16" x14ac:dyDescent="0.2">
      <c r="L50" s="12"/>
      <c r="M50" s="12"/>
      <c r="N50" s="12"/>
      <c r="O50" s="12"/>
      <c r="P50" s="12"/>
    </row>
    <row r="51" spans="12:16" x14ac:dyDescent="0.2">
      <c r="L51" s="12"/>
      <c r="M51" s="12"/>
      <c r="N51" s="12"/>
      <c r="O51" s="12"/>
      <c r="P51" s="12"/>
    </row>
    <row r="52" spans="12:16" x14ac:dyDescent="0.2">
      <c r="L52" s="12"/>
      <c r="M52" s="12"/>
      <c r="N52" s="12"/>
      <c r="O52" s="12"/>
      <c r="P52" s="12"/>
    </row>
    <row r="53" spans="12:16" x14ac:dyDescent="0.2">
      <c r="L53" s="12"/>
      <c r="M53" s="12"/>
      <c r="N53" s="12"/>
      <c r="O53" s="12"/>
      <c r="P53" s="12"/>
    </row>
  </sheetData>
  <mergeCells count="5">
    <mergeCell ref="B3:J3"/>
    <mergeCell ref="B24:I24"/>
    <mergeCell ref="B2:C2"/>
    <mergeCell ref="D2:I2"/>
    <mergeCell ref="E27:H27"/>
  </mergeCells>
  <phoneticPr fontId="21" type="noConversion"/>
  <pageMargins left="0.25" right="0.25" top="0.75" bottom="0.75" header="0.3" footer="0.3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0965-74B3-439F-AA5D-6F727507AB35}">
  <dimension ref="A1:E29"/>
  <sheetViews>
    <sheetView workbookViewId="0">
      <selection activeCell="H21" sqref="H21"/>
    </sheetView>
  </sheetViews>
  <sheetFormatPr defaultRowHeight="12.75" x14ac:dyDescent="0.2"/>
  <cols>
    <col min="1" max="1" width="17.5" customWidth="1"/>
    <col min="2" max="2" width="19.33203125" customWidth="1"/>
    <col min="3" max="3" width="16.5" customWidth="1"/>
    <col min="5" max="5" width="19.83203125" customWidth="1"/>
  </cols>
  <sheetData>
    <row r="1" spans="1:5" ht="15.75" thickBot="1" x14ac:dyDescent="0.3">
      <c r="A1" s="25"/>
      <c r="B1" s="204" t="s">
        <v>30</v>
      </c>
      <c r="C1" s="205"/>
      <c r="D1" s="205"/>
      <c r="E1" s="206"/>
    </row>
    <row r="2" spans="1:5" ht="15" x14ac:dyDescent="0.25">
      <c r="A2" s="26"/>
      <c r="B2" s="27" t="s">
        <v>31</v>
      </c>
      <c r="C2" s="28" t="s">
        <v>32</v>
      </c>
      <c r="D2" s="207" t="s">
        <v>33</v>
      </c>
      <c r="E2" s="208"/>
    </row>
    <row r="3" spans="1:5" ht="15" x14ac:dyDescent="0.25">
      <c r="A3" s="26"/>
      <c r="B3" s="29" t="s">
        <v>33</v>
      </c>
      <c r="C3" s="29" t="s">
        <v>33</v>
      </c>
      <c r="D3" s="198" t="s">
        <v>34</v>
      </c>
      <c r="E3" s="200"/>
    </row>
    <row r="4" spans="1:5" ht="15" x14ac:dyDescent="0.25">
      <c r="A4" s="30" t="s">
        <v>35</v>
      </c>
      <c r="B4" s="30"/>
      <c r="C4" s="29"/>
      <c r="D4" s="193">
        <v>44562</v>
      </c>
      <c r="E4" s="193"/>
    </row>
    <row r="5" spans="1:5" ht="15" x14ac:dyDescent="0.25">
      <c r="A5" s="30" t="s">
        <v>36</v>
      </c>
      <c r="B5" s="29"/>
      <c r="C5" s="29"/>
      <c r="D5" s="202"/>
      <c r="E5" s="202"/>
    </row>
    <row r="6" spans="1:5" ht="15" x14ac:dyDescent="0.25">
      <c r="A6" s="30" t="s">
        <v>37</v>
      </c>
      <c r="B6" s="29"/>
      <c r="C6" s="31"/>
      <c r="D6" s="192"/>
      <c r="E6" s="192"/>
    </row>
    <row r="7" spans="1:5" ht="15" x14ac:dyDescent="0.25">
      <c r="A7" s="30" t="s">
        <v>38</v>
      </c>
      <c r="B7" s="29"/>
      <c r="C7" s="31"/>
      <c r="D7" s="192"/>
      <c r="E7" s="192"/>
    </row>
    <row r="8" spans="1:5" ht="15" x14ac:dyDescent="0.25">
      <c r="A8" s="30" t="s">
        <v>39</v>
      </c>
      <c r="B8" s="29"/>
      <c r="C8" s="31"/>
      <c r="D8" s="192"/>
      <c r="E8" s="192"/>
    </row>
    <row r="9" spans="1:5" ht="15" x14ac:dyDescent="0.25">
      <c r="A9" s="30" t="s">
        <v>40</v>
      </c>
      <c r="B9" s="29"/>
      <c r="C9" s="31"/>
      <c r="D9" s="194"/>
      <c r="E9" s="195"/>
    </row>
    <row r="10" spans="1:5" ht="15" x14ac:dyDescent="0.25">
      <c r="A10" s="30" t="s">
        <v>41</v>
      </c>
      <c r="B10" s="32"/>
      <c r="C10" s="29"/>
      <c r="D10" s="196"/>
      <c r="E10" s="197"/>
    </row>
    <row r="11" spans="1:5" ht="15" x14ac:dyDescent="0.25">
      <c r="A11" s="30" t="s">
        <v>42</v>
      </c>
      <c r="B11" s="29"/>
      <c r="C11" s="33"/>
      <c r="D11" s="192"/>
      <c r="E11" s="192"/>
    </row>
    <row r="12" spans="1:5" ht="15" x14ac:dyDescent="0.25">
      <c r="A12" s="30" t="s">
        <v>43</v>
      </c>
      <c r="B12" s="29"/>
      <c r="C12" s="33"/>
      <c r="D12" s="192"/>
      <c r="E12" s="192"/>
    </row>
    <row r="13" spans="1:5" ht="15" x14ac:dyDescent="0.25">
      <c r="A13" s="30" t="s">
        <v>44</v>
      </c>
      <c r="B13" s="29"/>
      <c r="C13" s="33"/>
      <c r="D13" s="192"/>
      <c r="E13" s="192"/>
    </row>
    <row r="14" spans="1:5" ht="15" x14ac:dyDescent="0.25">
      <c r="A14" s="30" t="s">
        <v>45</v>
      </c>
      <c r="B14" s="29"/>
      <c r="C14" s="33"/>
      <c r="D14" s="192"/>
      <c r="E14" s="192"/>
    </row>
    <row r="15" spans="1:5" ht="15" x14ac:dyDescent="0.25">
      <c r="A15" s="30" t="s">
        <v>46</v>
      </c>
      <c r="B15" s="29"/>
      <c r="C15" s="34"/>
      <c r="D15" s="201">
        <v>244.78819999999999</v>
      </c>
      <c r="E15" s="201"/>
    </row>
    <row r="16" spans="1:5" ht="15" x14ac:dyDescent="0.25">
      <c r="A16" s="30" t="s">
        <v>47</v>
      </c>
      <c r="B16" s="29"/>
      <c r="C16" s="34"/>
      <c r="D16" s="201">
        <v>72.114699999999999</v>
      </c>
      <c r="E16" s="201"/>
    </row>
    <row r="17" spans="1:5" ht="15" x14ac:dyDescent="0.25">
      <c r="A17" s="35" t="s">
        <v>48</v>
      </c>
      <c r="B17" s="36"/>
      <c r="C17" s="29">
        <f>($C$505*$D$505*$E$505)*57%</f>
        <v>0</v>
      </c>
      <c r="D17" s="202">
        <f>D15*$D$495</f>
        <v>0</v>
      </c>
      <c r="E17" s="202"/>
    </row>
    <row r="18" spans="1:5" ht="15" x14ac:dyDescent="0.25">
      <c r="A18" s="35" t="s">
        <v>49</v>
      </c>
      <c r="B18" s="36"/>
      <c r="C18" s="29">
        <f>$C$43-C17</f>
        <v>0</v>
      </c>
      <c r="D18" s="202">
        <f>$D$496*D16</f>
        <v>0</v>
      </c>
      <c r="E18" s="202"/>
    </row>
    <row r="19" spans="1:5" ht="15" x14ac:dyDescent="0.25">
      <c r="A19" s="198" t="s">
        <v>50</v>
      </c>
      <c r="B19" s="199"/>
      <c r="C19" s="200"/>
      <c r="D19" s="203">
        <f>D17+D18</f>
        <v>0</v>
      </c>
      <c r="E19" s="203"/>
    </row>
    <row r="20" spans="1:5" ht="15" x14ac:dyDescent="0.25">
      <c r="A20" s="38"/>
      <c r="B20" s="39"/>
      <c r="C20" s="40"/>
      <c r="D20" s="41"/>
      <c r="E20" s="42"/>
    </row>
    <row r="21" spans="1:5" ht="15.75" thickBot="1" x14ac:dyDescent="0.3">
      <c r="A21" s="43"/>
      <c r="B21" s="26"/>
      <c r="C21" s="44"/>
      <c r="D21" s="45"/>
      <c r="E21" s="46"/>
    </row>
    <row r="22" spans="1:5" ht="15" x14ac:dyDescent="0.25">
      <c r="A22" s="47" t="s">
        <v>51</v>
      </c>
      <c r="B22" s="48" t="s">
        <v>52</v>
      </c>
      <c r="C22" s="48" t="s">
        <v>53</v>
      </c>
      <c r="D22" s="48" t="s">
        <v>54</v>
      </c>
      <c r="E22" s="49"/>
    </row>
    <row r="23" spans="1:5" ht="15" x14ac:dyDescent="0.25">
      <c r="A23" s="50">
        <v>24</v>
      </c>
      <c r="B23" s="29">
        <v>7</v>
      </c>
      <c r="C23" s="29">
        <v>30</v>
      </c>
      <c r="D23" s="29">
        <f>C23*A23</f>
        <v>720</v>
      </c>
      <c r="E23" s="51" t="s">
        <v>55</v>
      </c>
    </row>
    <row r="24" spans="1:5" ht="15" x14ac:dyDescent="0.25">
      <c r="A24" s="52"/>
      <c r="B24" s="53"/>
      <c r="C24" s="53"/>
      <c r="D24" s="26"/>
      <c r="E24" s="54"/>
    </row>
    <row r="25" spans="1:5" ht="15" x14ac:dyDescent="0.25">
      <c r="A25" s="55" t="s">
        <v>56</v>
      </c>
      <c r="B25" s="56"/>
      <c r="C25" s="57" t="s">
        <v>57</v>
      </c>
      <c r="D25" s="26"/>
      <c r="E25" s="54"/>
    </row>
    <row r="26" spans="1:5" ht="15" x14ac:dyDescent="0.25">
      <c r="A26" s="50" t="s">
        <v>58</v>
      </c>
      <c r="B26" s="29" t="s">
        <v>59</v>
      </c>
      <c r="C26" s="58" t="s">
        <v>60</v>
      </c>
      <c r="D26" s="29" t="s">
        <v>61</v>
      </c>
      <c r="E26" s="59" t="s">
        <v>62</v>
      </c>
    </row>
    <row r="27" spans="1:5" ht="15" x14ac:dyDescent="0.25">
      <c r="A27" s="50">
        <v>44</v>
      </c>
      <c r="B27" s="29">
        <v>4</v>
      </c>
      <c r="C27" s="60">
        <v>7</v>
      </c>
      <c r="D27" s="29">
        <v>5</v>
      </c>
      <c r="E27" s="59">
        <f>C27*D27</f>
        <v>35</v>
      </c>
    </row>
    <row r="28" spans="1:5" ht="15" x14ac:dyDescent="0.25">
      <c r="A28" s="61" t="s">
        <v>63</v>
      </c>
      <c r="B28" s="37">
        <f>A27*B27</f>
        <v>176</v>
      </c>
      <c r="C28" s="37" t="s">
        <v>64</v>
      </c>
      <c r="D28" s="37"/>
      <c r="E28" s="62"/>
    </row>
    <row r="29" spans="1:5" ht="15.75" thickBot="1" x14ac:dyDescent="0.3">
      <c r="A29" s="63"/>
      <c r="B29" s="64"/>
      <c r="C29" s="65"/>
      <c r="D29" s="64"/>
      <c r="E29" s="66"/>
    </row>
  </sheetData>
  <mergeCells count="20">
    <mergeCell ref="B1:E1"/>
    <mergeCell ref="D2:E2"/>
    <mergeCell ref="D3:E3"/>
    <mergeCell ref="A19:C19"/>
    <mergeCell ref="D15:E15"/>
    <mergeCell ref="D16:E16"/>
    <mergeCell ref="D17:E17"/>
    <mergeCell ref="D18:E18"/>
    <mergeCell ref="D19:E19"/>
    <mergeCell ref="D14:E14"/>
    <mergeCell ref="D4:E4"/>
    <mergeCell ref="D9:E9"/>
    <mergeCell ref="D10:E10"/>
    <mergeCell ref="D11:E11"/>
    <mergeCell ref="D12:E12"/>
    <mergeCell ref="D13:E13"/>
    <mergeCell ref="D5:E5"/>
    <mergeCell ref="D6:E6"/>
    <mergeCell ref="D7:E7"/>
    <mergeCell ref="D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CURVA ABC</vt:lpstr>
      <vt:lpstr>PLANILHA</vt:lpstr>
      <vt:lpstr>Planilha1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Sales Loureiro</dc:creator>
  <cp:lastModifiedBy>Nettie Alves Paulo de Moraes</cp:lastModifiedBy>
  <cp:lastPrinted>2025-01-15T12:23:09Z</cp:lastPrinted>
  <dcterms:created xsi:type="dcterms:W3CDTF">2022-11-29T13:55:14Z</dcterms:created>
  <dcterms:modified xsi:type="dcterms:W3CDTF">2025-01-17T13:58:03Z</dcterms:modified>
</cp:coreProperties>
</file>