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EstaPastaDeTrabalho" defaultThemeVersion="166925"/>
  <mc:AlternateContent xmlns:mc="http://schemas.openxmlformats.org/markup-compatibility/2006">
    <mc:Choice Requires="x15">
      <x15ac:absPath xmlns:x15ac="http://schemas.microsoft.com/office/spreadsheetml/2010/11/ac" url="G:\Drives compartilhados\Prosul - Viaponte Consane DER-ES\tecnica\medicao_empreiteira\31 - OBRA 05222 - NOVA ITAPARICA (ANDARES)\4. MED. PROVISÓRIAS\8ªMP - JUN.23\1. RELATÓRIOS\1. CMRF 03.5222-08\"/>
    </mc:Choice>
  </mc:AlternateContent>
  <xr:revisionPtr revIDLastSave="0" documentId="13_ncr:1_{CC40DD72-CE9D-49EE-969D-691A7DFB801D}" xr6:coauthVersionLast="47" xr6:coauthVersionMax="47" xr10:uidLastSave="{00000000-0000-0000-0000-000000000000}"/>
  <bookViews>
    <workbookView xWindow="28680" yWindow="-120" windowWidth="29040" windowHeight="15840" tabRatio="919" firstSheet="1" activeTab="5" xr2:uid="{00000000-000D-0000-FFFF-FFFF00000000}"/>
  </bookViews>
  <sheets>
    <sheet name="00" sheetId="218" r:id="rId1"/>
    <sheet name="9.1 - CRONOGRAMA" sheetId="220" r:id="rId2"/>
    <sheet name="9.2 - CURVA" sheetId="239" r:id="rId3"/>
    <sheet name="10 - EVOLUÇÃO FINANCEIRA" sheetId="219" r:id="rId4"/>
    <sheet name="11 - RESUMO" sheetId="215" r:id="rId5"/>
    <sheet name="12 - FINANCEIRA" sheetId="232" r:id="rId6"/>
    <sheet name="13 - MEMÓRIA" sheetId="233" r:id="rId7"/>
    <sheet name="15.2 - VERIFICAÇÃO AMBIENTAL" sheetId="242" state="hidden" r:id="rId8"/>
    <sheet name="15.1 VERIFICAÇÃO MT" sheetId="255" r:id="rId9"/>
    <sheet name="15.1.1 CHECKLIST ROTINAS" sheetId="256" r:id="rId10"/>
    <sheet name="15.2 - VERIFICAÇÃO AMBIENTAL 2" sheetId="257" r:id="rId11"/>
    <sheet name="15.3-REL. FOTOGRAFICO" sheetId="258" r:id="rId12"/>
    <sheet name="16 - INSPEÇÕES" sheetId="228" r:id="rId13"/>
    <sheet name="18 - CHECKLIST 1" sheetId="222" r:id="rId14"/>
    <sheet name="18 - CHECKLIST 2" sheetId="237" r:id="rId15"/>
    <sheet name="Reaterro" sheetId="216" state="hidden" r:id="rId16"/>
    <sheet name="1.4" sheetId="165" state="hidden" r:id="rId17"/>
    <sheet name="3.4" sheetId="179" state="hidden" r:id="rId18"/>
    <sheet name="5.3" sheetId="126" state="hidden" r:id="rId19"/>
    <sheet name="5.5" sheetId="128" state="hidden" r:id="rId20"/>
    <sheet name="5.6" sheetId="129" state="hidden" r:id="rId21"/>
    <sheet name="5.9" sheetId="130" state="hidden" r:id="rId22"/>
    <sheet name="5.12" sheetId="193" state="hidden" r:id="rId23"/>
    <sheet name="6.4.6" sheetId="133" state="hidden" r:id="rId24"/>
    <sheet name="7.1" sheetId="134" state="hidden" r:id="rId25"/>
    <sheet name="7.2" sheetId="135" state="hidden" r:id="rId26"/>
    <sheet name="7.6" sheetId="136" state="hidden" r:id="rId27"/>
    <sheet name="7.7" sheetId="137" state="hidden" r:id="rId28"/>
    <sheet name="7.8" sheetId="160" state="hidden" r:id="rId29"/>
    <sheet name="7.9" sheetId="161" state="hidden" r:id="rId30"/>
    <sheet name="7.10" sheetId="162" state="hidden" r:id="rId31"/>
    <sheet name="7.13" sheetId="163" state="hidden" r:id="rId32"/>
    <sheet name="7.28" sheetId="164" state="hidden" r:id="rId33"/>
    <sheet name="9.1" sheetId="151" state="hidden" r:id="rId34"/>
    <sheet name="9.2" sheetId="152" state="hidden" r:id="rId35"/>
    <sheet name="9.3" sheetId="153" state="hidden" r:id="rId36"/>
    <sheet name="9.4" sheetId="154" state="hidden" r:id="rId37"/>
    <sheet name="9.5" sheetId="155" state="hidden" r:id="rId38"/>
    <sheet name="9.14" sheetId="156" state="hidden" r:id="rId39"/>
    <sheet name="10.1" sheetId="157" state="hidden" r:id="rId40"/>
    <sheet name="10.2" sheetId="158" state="hidden"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0" localSheetId="10">#REF!</definedName>
    <definedName name="\0" localSheetId="11">#REF!</definedName>
    <definedName name="\0" localSheetId="2">#REF!</definedName>
    <definedName name="\0">#REF!</definedName>
    <definedName name="\1" localSheetId="10">[1]PLANILHA!#REF!</definedName>
    <definedName name="\1" localSheetId="11">[1]PLANILHA!#REF!</definedName>
    <definedName name="\1" localSheetId="2">#REF!</definedName>
    <definedName name="\1">#REF!</definedName>
    <definedName name="\11" localSheetId="10">[2]PLANILHA!#REF!</definedName>
    <definedName name="\11" localSheetId="11">[2]PLANILHA!#REF!</definedName>
    <definedName name="\11" localSheetId="2">#REF!</definedName>
    <definedName name="\11">#REF!</definedName>
    <definedName name="\ates\z" localSheetId="16">#REF!</definedName>
    <definedName name="\ates\z" localSheetId="4">#REF!</definedName>
    <definedName name="\ates\z" localSheetId="10">#REF!</definedName>
    <definedName name="\ates\z" localSheetId="11">#REF!</definedName>
    <definedName name="\ates\z" localSheetId="12">#REF!</definedName>
    <definedName name="\ates\z" localSheetId="14">#REF!</definedName>
    <definedName name="\ates\z">#REF!</definedName>
    <definedName name="\C" localSheetId="16">#REF!</definedName>
    <definedName name="\C" localSheetId="11">#REF!</definedName>
    <definedName name="\C">#REF!</definedName>
    <definedName name="\D" localSheetId="16">#REF!</definedName>
    <definedName name="\D" localSheetId="11">#REF!</definedName>
    <definedName name="\D">#REF!</definedName>
    <definedName name="\f">#N/A</definedName>
    <definedName name="\G" localSheetId="16">#REF!</definedName>
    <definedName name="\G" localSheetId="10">#REF!</definedName>
    <definedName name="\G" localSheetId="11">#REF!</definedName>
    <definedName name="\G">#REF!</definedName>
    <definedName name="\I" localSheetId="16">#REF!</definedName>
    <definedName name="\I" localSheetId="11">#REF!</definedName>
    <definedName name="\I">#REF!</definedName>
    <definedName name="\M" localSheetId="16">#REF!</definedName>
    <definedName name="\M" localSheetId="11">#REF!</definedName>
    <definedName name="\M">#REF!</definedName>
    <definedName name="\P" localSheetId="16">#REF!</definedName>
    <definedName name="\P" localSheetId="11">#REF!</definedName>
    <definedName name="\P">#REF!</definedName>
    <definedName name="\q" localSheetId="11">'[3]Bm 8'!#REF!</definedName>
    <definedName name="\q">#REF!</definedName>
    <definedName name="\R" localSheetId="16">#REF!</definedName>
    <definedName name="\R" localSheetId="10">#REF!</definedName>
    <definedName name="\R" localSheetId="11">#REF!</definedName>
    <definedName name="\R">#REF!</definedName>
    <definedName name="\s" localSheetId="10">'[3]Bm 8'!#REF!</definedName>
    <definedName name="\s" localSheetId="11">'[3]Bm 8'!#REF!</definedName>
    <definedName name="\s">#REF!</definedName>
    <definedName name="\w" localSheetId="10">[4]PLANILHA!#REF!</definedName>
    <definedName name="\w" localSheetId="11">[4]PLANILHA!#REF!</definedName>
    <definedName name="\w">#REF!</definedName>
    <definedName name="\x" localSheetId="11">'[3]Bm 8'!#REF!</definedName>
    <definedName name="\x">#REF!</definedName>
    <definedName name="\Y" localSheetId="16">#REF!</definedName>
    <definedName name="\Y" localSheetId="10">#REF!</definedName>
    <definedName name="\Y" localSheetId="11">#REF!</definedName>
    <definedName name="\Y">#REF!</definedName>
    <definedName name="_" localSheetId="16">#REF!</definedName>
    <definedName name="_" localSheetId="11">#REF!</definedName>
    <definedName name="_">#REF!</definedName>
    <definedName name="____________BOR1" localSheetId="11">'[3]Bm 8'!#REF!</definedName>
    <definedName name="____________BOR1">#REF!</definedName>
    <definedName name="___________BOR1" localSheetId="11">'[3]Bm 8'!#REF!</definedName>
    <definedName name="___________BOR1">#REF!</definedName>
    <definedName name="__________BOR1" localSheetId="11">'[3]Bm 8'!#REF!</definedName>
    <definedName name="__________BOR1">#REF!</definedName>
    <definedName name="_________BOR1" localSheetId="11">'[3]Bm 8'!#REF!</definedName>
    <definedName name="_________BOR1">#REF!</definedName>
    <definedName name="________BOR1" localSheetId="11">'[3]Bm 8'!#REF!</definedName>
    <definedName name="________BOR1">#REF!</definedName>
    <definedName name="________NIL1" localSheetId="11">#REF!</definedName>
    <definedName name="________NIL1">#REF!</definedName>
    <definedName name="_______BOR1" localSheetId="11">'[3]Bm 8'!#REF!</definedName>
    <definedName name="_______BOR1">#REF!</definedName>
    <definedName name="_______NIL1" localSheetId="11">#REF!</definedName>
    <definedName name="_______NIL1">#REF!</definedName>
    <definedName name="______BOR1" localSheetId="11">'[3]Bm 8'!#REF!</definedName>
    <definedName name="______BOR1">#REF!</definedName>
    <definedName name="______NIL1" localSheetId="11">#REF!</definedName>
    <definedName name="______NIL1">#REF!</definedName>
    <definedName name="_____BOR1" localSheetId="11">'[3]Bm 8'!#REF!</definedName>
    <definedName name="_____BOR1">#REF!</definedName>
    <definedName name="____BOR1" localSheetId="11">'[3]Bm 8'!#REF!</definedName>
    <definedName name="____BOR1">#REF!</definedName>
    <definedName name="____NIL1" localSheetId="11">#REF!</definedName>
    <definedName name="____NIL1">#REF!</definedName>
    <definedName name="___BOR1" localSheetId="11">'[3]Bm 8'!#REF!</definedName>
    <definedName name="___BOR1">#REF!</definedName>
    <definedName name="___NIL1" localSheetId="11">#REF!</definedName>
    <definedName name="___NIL1">#REF!</definedName>
    <definedName name="___R" localSheetId="16">#REF!</definedName>
    <definedName name="___R" localSheetId="11">#REF!</definedName>
    <definedName name="___R">#REF!</definedName>
    <definedName name="__123Graph_A" hidden="1">#REF!</definedName>
    <definedName name="__123Graph_B" hidden="1">#REF!</definedName>
    <definedName name="__123Graph_D" hidden="1">#REF!</definedName>
    <definedName name="__123Graph_E" hidden="1">#REF!</definedName>
    <definedName name="__123Graph_X" hidden="1">#REF!</definedName>
    <definedName name="__BOR1" localSheetId="11">'[3]Bm 8'!#REF!</definedName>
    <definedName name="__BOR1">#REF!</definedName>
    <definedName name="__MDO1" localSheetId="16">#REF!</definedName>
    <definedName name="__MDO1" localSheetId="10">#REF!</definedName>
    <definedName name="__MDO1" localSheetId="11">#REF!</definedName>
    <definedName name="__MDO1">#REF!</definedName>
    <definedName name="__MDO2" localSheetId="16">#REF!</definedName>
    <definedName name="__MDO2" localSheetId="11">#REF!</definedName>
    <definedName name="__MDO2">#REF!</definedName>
    <definedName name="__NIL1" localSheetId="11">#REF!</definedName>
    <definedName name="__NIL1">#REF!</definedName>
    <definedName name="__R" localSheetId="16">#REF!</definedName>
    <definedName name="__R" localSheetId="11">#REF!</definedName>
    <definedName name="__R">#REF!</definedName>
    <definedName name="_01">#REF!</definedName>
    <definedName name="_02">#REF!</definedName>
    <definedName name="_03">#REF!</definedName>
    <definedName name="_04">#REF!</definedName>
    <definedName name="_05">#REF!</definedName>
    <definedName name="_06">#REF!</definedName>
    <definedName name="_07">#REF!</definedName>
    <definedName name="_08">#REF!</definedName>
    <definedName name="_09">#REF!</definedName>
    <definedName name="_10">#REF!</definedName>
    <definedName name="_11">#REF!</definedName>
    <definedName name="_12">#REF!</definedName>
    <definedName name="_13">#REF!</definedName>
    <definedName name="_14">#REF!</definedName>
    <definedName name="_15">#REF!</definedName>
    <definedName name="_16">#REF!</definedName>
    <definedName name="_16.3___VEÍCULOS" localSheetId="11">'[5]16-EQUIP.'!#REF!</definedName>
    <definedName name="_16.3___VEÍCULOS">#REF!</definedName>
    <definedName name="_16.4___COMBÚSTIVEL" localSheetId="11">'[5]16-EQUIP.'!#REF!</definedName>
    <definedName name="_16.4___COMBÚSTIVEL">#REF!</definedName>
    <definedName name="_16.5___EQUIPAMENTOS_DE_ESCRITÓRIO" localSheetId="11">'[5]16-EQUIP.'!#REF!</definedName>
    <definedName name="_16.5___EQUIPAMENTOS_DE_ESCRITÓRIO">#REF!</definedName>
    <definedName name="_17">#REF!</definedName>
    <definedName name="_17.1_MENSALISTA" localSheetId="11">'[5]17-MOI'!#REF!</definedName>
    <definedName name="_17.1_MENSALISTA">#REF!</definedName>
    <definedName name="_17.2___HORISTA" localSheetId="11">'[5]17-MOI'!#REF!</definedName>
    <definedName name="_17.2___HORISTA">#REF!</definedName>
    <definedName name="_18">#REF!</definedName>
    <definedName name="_18___CANTEIRO___INSTALAÇÃO___MANUTENÇÃO" localSheetId="11">#REF!</definedName>
    <definedName name="_18___CANTEIRO___INSTALAÇÃO___MANUTENÇÃO">#REF!</definedName>
    <definedName name="_19">#REF!</definedName>
    <definedName name="_1Excel_BuiltIn_Print_Area_3_1" localSheetId="16">#REF!</definedName>
    <definedName name="_1Excel_BuiltIn_Print_Area_3_1" localSheetId="10">#REF!</definedName>
    <definedName name="_1Excel_BuiltIn_Print_Area_3_1" localSheetId="11">#REF!</definedName>
    <definedName name="_1Excel_BuiltIn_Print_Area_3_1">#REF!</definedName>
    <definedName name="_20">#REF!</definedName>
    <definedName name="_21">#REF!</definedName>
    <definedName name="_22">#REF!</definedName>
    <definedName name="_23">#REF!</definedName>
    <definedName name="_24">#REF!</definedName>
    <definedName name="_25">#REF!</definedName>
    <definedName name="_26">#REF!</definedName>
    <definedName name="_27">#REF!</definedName>
    <definedName name="_28">#REF!</definedName>
    <definedName name="_29">#REF!</definedName>
    <definedName name="_2Excel_BuiltIn_Print_Titles_1_1" localSheetId="11">#REF!,#REF!</definedName>
    <definedName name="_2Excel_BuiltIn_Print_Titles_1_1">#REF!,#REF!</definedName>
    <definedName name="_30">#REF!</definedName>
    <definedName name="_31">#REF!</definedName>
    <definedName name="_32">#REF!</definedName>
    <definedName name="_33">#REF!</definedName>
    <definedName name="_34">#REF!</definedName>
    <definedName name="_35">#REF!</definedName>
    <definedName name="_36">#REF!</definedName>
    <definedName name="_37">#REF!</definedName>
    <definedName name="_38">#REF!</definedName>
    <definedName name="_39">#REF!</definedName>
    <definedName name="_3Excel_BuiltIn_Print_Titles_1_1" localSheetId="11">#REF!,#REF!</definedName>
    <definedName name="_3Excel_BuiltIn_Print_Titles_1_1">#REF!,#REF!</definedName>
    <definedName name="_40">#REF!</definedName>
    <definedName name="_41">#REF!</definedName>
    <definedName name="_42">#REF!</definedName>
    <definedName name="_43">#REF!</definedName>
    <definedName name="_44">#REF!</definedName>
    <definedName name="_45">#REF!</definedName>
    <definedName name="_46">#REF!</definedName>
    <definedName name="_47">#REF!</definedName>
    <definedName name="_48">#REF!</definedName>
    <definedName name="_49">#REF!</definedName>
    <definedName name="_50">#REF!</definedName>
    <definedName name="_51">#REF!</definedName>
    <definedName name="_52">#REF!</definedName>
    <definedName name="_53">#REF!</definedName>
    <definedName name="_6Excel_BuiltIn_Print_Titles_2_1_1" localSheetId="16">(#REF!,#REF!)</definedName>
    <definedName name="_6Excel_BuiltIn_Print_Titles_2_1_1" localSheetId="10">(#REF!,#REF!)</definedName>
    <definedName name="_6Excel_BuiltIn_Print_Titles_2_1_1" localSheetId="11">(#REF!,#REF!)</definedName>
    <definedName name="_6Excel_BuiltIn_Print_Titles_2_1_1" localSheetId="1">(#REF!,#REF!)</definedName>
    <definedName name="_6Excel_BuiltIn_Print_Titles_2_1_1" localSheetId="2">(#REF!,#REF!)</definedName>
    <definedName name="_6Excel_BuiltIn_Print_Titles_2_1_1">(#REF!,#REF!)</definedName>
    <definedName name="_BOR1" localSheetId="11">'[3]Bm 8'!#REF!</definedName>
    <definedName name="_BOR1">#REF!</definedName>
    <definedName name="_C" localSheetId="10">[6]Reforma!#REF!</definedName>
    <definedName name="_C" localSheetId="11">[6]Reforma!#REF!</definedName>
    <definedName name="_C" localSheetId="1">#REF!</definedName>
    <definedName name="_C" localSheetId="2">#REF!</definedName>
    <definedName name="_C">#REF!</definedName>
    <definedName name="_C_1" localSheetId="11">[6]Reforma!#REF!</definedName>
    <definedName name="_C_1" localSheetId="1">#REF!</definedName>
    <definedName name="_C_1" localSheetId="2">#REF!</definedName>
    <definedName name="_C_1">#REF!</definedName>
    <definedName name="_D" localSheetId="11">[6]Reforma!#REF!</definedName>
    <definedName name="_D">#REF!</definedName>
    <definedName name="_D_1" localSheetId="11">[6]Reforma!#REF!</definedName>
    <definedName name="_D_1">#REF!</definedName>
    <definedName name="_FCCEMED_" localSheetId="16">#REF!</definedName>
    <definedName name="_FCCEMED_" localSheetId="10">#REF!</definedName>
    <definedName name="_FCCEMED_" localSheetId="11">#REF!</definedName>
    <definedName name="_FCCEMED_" localSheetId="1">#REF!</definedName>
    <definedName name="_FCCEMED_" localSheetId="2">#REF!</definedName>
    <definedName name="_FCCEMED_">#REF!</definedName>
    <definedName name="_Fill" localSheetId="16" hidden="1">#REF!</definedName>
    <definedName name="_Fill" localSheetId="11" hidden="1">#REF!</definedName>
    <definedName name="_Fill" localSheetId="1" hidden="1">#REF!</definedName>
    <definedName name="_Fill" localSheetId="2" hidden="1">#REF!</definedName>
    <definedName name="_Fill" hidden="1">#REF!</definedName>
    <definedName name="_xlnm._FilterDatabase" localSheetId="4" hidden="1">'11 - RESUMO'!$F$14:$H$87</definedName>
    <definedName name="_xlnm._FilterDatabase" localSheetId="5" hidden="1">'12 - FINANCEIRA'!$A$15:$CK$72</definedName>
    <definedName name="_xlnm._FilterDatabase" localSheetId="6" hidden="1">'13 - MEMÓRIA'!$V$1:$V$873</definedName>
    <definedName name="_FOG50" localSheetId="16">#REF!</definedName>
    <definedName name="_FOG50" localSheetId="11">#REF!</definedName>
    <definedName name="_FOG50" localSheetId="1">#REF!</definedName>
    <definedName name="_FOG50" localSheetId="2">#REF!</definedName>
    <definedName name="_FOG50">#REF!</definedName>
    <definedName name="_G" localSheetId="11">[6]Reforma!#REF!</definedName>
    <definedName name="_G" localSheetId="1">#REF!</definedName>
    <definedName name="_G" localSheetId="2">#REF!</definedName>
    <definedName name="_G">#REF!</definedName>
    <definedName name="_G_1" localSheetId="11">[6]Reforma!#REF!</definedName>
    <definedName name="_G_1" localSheetId="1">#REF!</definedName>
    <definedName name="_G_1" localSheetId="2">#REF!</definedName>
    <definedName name="_G_1">#REF!</definedName>
    <definedName name="_GOTO_D1_" localSheetId="16">#REF!</definedName>
    <definedName name="_GOTO_D1_" localSheetId="10">#REF!</definedName>
    <definedName name="_GOTO_D1_" localSheetId="11">#REF!</definedName>
    <definedName name="_GOTO_D1_" localSheetId="1">#REF!</definedName>
    <definedName name="_GOTO_D1_" localSheetId="2">#REF!</definedName>
    <definedName name="_GOTO_D1_">#REF!</definedName>
    <definedName name="_GOTO_E1_" localSheetId="16">#REF!</definedName>
    <definedName name="_GOTO_E1_" localSheetId="11">#REF!</definedName>
    <definedName name="_GOTO_E1_" localSheetId="1">#REF!</definedName>
    <definedName name="_GOTO_E1_" localSheetId="2">#REF!</definedName>
    <definedName name="_GOTO_E1_">#REF!</definedName>
    <definedName name="_GOTO_N1_" localSheetId="16">#REF!</definedName>
    <definedName name="_GOTO_N1_" localSheetId="11">#REF!</definedName>
    <definedName name="_GOTO_N1_" localSheetId="1">#REF!</definedName>
    <definedName name="_GOTO_N1_" localSheetId="2">#REF!</definedName>
    <definedName name="_GOTO_N1_">#REF!</definedName>
    <definedName name="_HOME__" localSheetId="16">#REF!</definedName>
    <definedName name="_HOME__" localSheetId="11">#REF!</definedName>
    <definedName name="_HOME__" localSheetId="1">#REF!</definedName>
    <definedName name="_HOME__" localSheetId="2">#REF!</definedName>
    <definedName name="_HOME__">#REF!</definedName>
    <definedName name="_I" localSheetId="11">[6]Reforma!#REF!</definedName>
    <definedName name="_I" localSheetId="1">#REF!</definedName>
    <definedName name="_I" localSheetId="2">#REF!</definedName>
    <definedName name="_I">#REF!</definedName>
    <definedName name="_I_1" localSheetId="11">[6]Reforma!#REF!</definedName>
    <definedName name="_I_1" localSheetId="1">#REF!</definedName>
    <definedName name="_I_1" localSheetId="2">#REF!</definedName>
    <definedName name="_I_1">#REF!</definedName>
    <definedName name="_Key1" localSheetId="16" hidden="1">#REF!</definedName>
    <definedName name="_Key1" localSheetId="10" hidden="1">#REF!</definedName>
    <definedName name="_Key1" localSheetId="11" hidden="1">#REF!</definedName>
    <definedName name="_Key1" localSheetId="1" hidden="1">#REF!</definedName>
    <definedName name="_Key1" localSheetId="2" hidden="1">#REF!</definedName>
    <definedName name="_Key1" hidden="1">#REF!</definedName>
    <definedName name="_M" localSheetId="10">[6]Reforma!#REF!</definedName>
    <definedName name="_M" localSheetId="11">[6]Reforma!#REF!</definedName>
    <definedName name="_M" localSheetId="1">#REF!</definedName>
    <definedName name="_M" localSheetId="2">#REF!</definedName>
    <definedName name="_M">#REF!</definedName>
    <definedName name="_M_1" localSheetId="11">[6]Reforma!#REF!</definedName>
    <definedName name="_M_1" localSheetId="1">#REF!</definedName>
    <definedName name="_M_1" localSheetId="2">#REF!</definedName>
    <definedName name="_M_1">#REF!</definedName>
    <definedName name="_MDO1" localSheetId="16">#REF!</definedName>
    <definedName name="_MDO1" localSheetId="10">#REF!</definedName>
    <definedName name="_MDO1" localSheetId="11">#REF!</definedName>
    <definedName name="_MDO1" localSheetId="1">#REF!</definedName>
    <definedName name="_MDO1" localSheetId="2">#REF!</definedName>
    <definedName name="_MDO1">#REF!</definedName>
    <definedName name="_MDO2" localSheetId="16">#REF!</definedName>
    <definedName name="_MDO2" localSheetId="11">#REF!</definedName>
    <definedName name="_MDO2">#REF!</definedName>
    <definedName name="_MM" localSheetId="11" hidden="1">#REF!</definedName>
    <definedName name="_MM" hidden="1">#REF!</definedName>
    <definedName name="_NIL1" localSheetId="11">#REF!</definedName>
    <definedName name="_NIL1">#REF!</definedName>
    <definedName name="_Order1" hidden="1">255</definedName>
    <definedName name="_P" localSheetId="11">[6]Reforma!#REF!</definedName>
    <definedName name="_P">#REF!</definedName>
    <definedName name="_P_1" localSheetId="11">[6]Reforma!#REF!</definedName>
    <definedName name="_P_1">#REF!</definedName>
    <definedName name="_planilhapu" localSheetId="16">#REF!</definedName>
    <definedName name="_planilhapu" localSheetId="10">#REF!</definedName>
    <definedName name="_planilhapu" localSheetId="11">#REF!</definedName>
    <definedName name="_planilhapu">#REF!</definedName>
    <definedName name="_PPOS015Q_AGPQ_" localSheetId="16">#REF!</definedName>
    <definedName name="_PPOS015Q_AGPQ_" localSheetId="11">#REF!</definedName>
    <definedName name="_PPOS015Q_AGPQ_">#REF!</definedName>
    <definedName name="_PPOS015Q_AGPQ__6" localSheetId="16">#REF!</definedName>
    <definedName name="_PPOS015Q_AGPQ__6" localSheetId="11">#REF!</definedName>
    <definedName name="_PPOS015Q_AGPQ__6" localSheetId="1">#REF!</definedName>
    <definedName name="_PPOS015Q_AGPQ__6" localSheetId="2">#REF!</definedName>
    <definedName name="_PPOS015Q_AGPQ__6">#REF!</definedName>
    <definedName name="_PVC100" localSheetId="16">#REF!</definedName>
    <definedName name="_PVC100" localSheetId="11">#REF!</definedName>
    <definedName name="_PVC100">#REF!</definedName>
    <definedName name="_PVC150" localSheetId="16">#REF!</definedName>
    <definedName name="_PVC150" localSheetId="11">#REF!</definedName>
    <definedName name="_PVC150">#REF!</definedName>
    <definedName name="_PVC50" localSheetId="16">#REF!</definedName>
    <definedName name="_PVC50" localSheetId="11">#REF!</definedName>
    <definedName name="_PVC50">#REF!</definedName>
    <definedName name="_PVC75" localSheetId="16">#REF!</definedName>
    <definedName name="_PVC75" localSheetId="11">#REF!</definedName>
    <definedName name="_PVC75">#REF!</definedName>
    <definedName name="_QUAN" localSheetId="10" hidden="1">{#N/A,#N/A,FALSE,"MO (2)"}</definedName>
    <definedName name="_QUAN" localSheetId="11" hidden="1">{#N/A,#N/A,FALSE,"MO (2)"}</definedName>
    <definedName name="_QUAN" localSheetId="2" hidden="1">{#N/A,#N/A,FALSE,"MO (2)"}</definedName>
    <definedName name="_QUAN" hidden="1">{#N/A,#N/A,FALSE,"MO (2)"}</definedName>
    <definedName name="_R" localSheetId="11">[6]Reforma!#REF!</definedName>
    <definedName name="_R">#REF!</definedName>
    <definedName name="_R_1" localSheetId="11">[6]Reforma!#REF!</definedName>
    <definedName name="_R_1">#REF!</definedName>
    <definedName name="_REA1.N10_" localSheetId="16">#REF!</definedName>
    <definedName name="_REA1.N10_" localSheetId="10">#REF!</definedName>
    <definedName name="_REA1.N10_" localSheetId="11">#REF!</definedName>
    <definedName name="_REA1.N10_" localSheetId="1">#REF!</definedName>
    <definedName name="_REA1.N10_" localSheetId="2">#REF!</definedName>
    <definedName name="_REA1.N10_">#REF!</definedName>
    <definedName name="_Sort" localSheetId="16" hidden="1">#REF!</definedName>
    <definedName name="_Sort" localSheetId="11" hidden="1">#REF!</definedName>
    <definedName name="_Sort" localSheetId="1" hidden="1">#REF!</definedName>
    <definedName name="_Sort" localSheetId="2" hidden="1">#REF!</definedName>
    <definedName name="_Sort" hidden="1">#REF!</definedName>
    <definedName name="_VBF1" localSheetId="16">#REF!</definedName>
    <definedName name="_VBF1" localSheetId="11">#REF!</definedName>
    <definedName name="_VBF1" localSheetId="1">#REF!</definedName>
    <definedName name="_VBF1" localSheetId="2">#REF!</definedName>
    <definedName name="_VBF1">#REF!</definedName>
    <definedName name="_VE1" localSheetId="16">#REF!</definedName>
    <definedName name="_VE1" localSheetId="11">#REF!</definedName>
    <definedName name="_VE1">#REF!</definedName>
    <definedName name="_VO1" localSheetId="11">[7]MEMORIAL!#REF!</definedName>
    <definedName name="_VO1">#REF!</definedName>
    <definedName name="_VR1" localSheetId="16">#REF!</definedName>
    <definedName name="_VR1" localSheetId="10">#REF!</definedName>
    <definedName name="_VR1" localSheetId="11">#REF!</definedName>
    <definedName name="_VR1" localSheetId="1">#REF!</definedName>
    <definedName name="_VR1" localSheetId="2">#REF!</definedName>
    <definedName name="_VR1">#REF!</definedName>
    <definedName name="_WCS13_" localSheetId="16">#REF!</definedName>
    <definedName name="_WCS13_" localSheetId="11">#REF!</definedName>
    <definedName name="_WCS13_">#REF!</definedName>
    <definedName name="_WCS43_" localSheetId="16">#REF!</definedName>
    <definedName name="_WCS43_" localSheetId="11">#REF!</definedName>
    <definedName name="_WCS43_">#REF!</definedName>
    <definedName name="_WDCN1.S1_" localSheetId="16">#REF!</definedName>
    <definedName name="_WDCN1.S1_" localSheetId="11">#REF!</definedName>
    <definedName name="_WDCN1.S1_">#REF!</definedName>
    <definedName name="_WGZY_" localSheetId="16">#REF!</definedName>
    <definedName name="_WGZY_" localSheetId="11">#REF!</definedName>
    <definedName name="_WGZY_">#REF!</definedName>
    <definedName name="_WGZY__6" localSheetId="16">#REF!</definedName>
    <definedName name="_WGZY__6" localSheetId="11">#REF!</definedName>
    <definedName name="_WGZY__6">#REF!</definedName>
    <definedName name="_WICE1_" localSheetId="16">#REF!</definedName>
    <definedName name="_WICE1_" localSheetId="11">#REF!</definedName>
    <definedName name="_WICE1_">#REF!</definedName>
    <definedName name="_WIRA1.A8_" localSheetId="16">#REF!</definedName>
    <definedName name="_WIRA1.A8_" localSheetId="11">#REF!</definedName>
    <definedName name="_WIRA1.A8_">#REF!</definedName>
    <definedName name="_Y" localSheetId="11">[6]Reforma!#REF!</definedName>
    <definedName name="_Y">#REF!</definedName>
    <definedName name="_Y_1" localSheetId="11">[6]Reforma!#REF!</definedName>
    <definedName name="_Y_1">#REF!</definedName>
    <definedName name="A" localSheetId="16">#REF!</definedName>
    <definedName name="A" localSheetId="4">#REF!</definedName>
    <definedName name="A" localSheetId="10">#REF!</definedName>
    <definedName name="A" localSheetId="11">#REF!</definedName>
    <definedName name="A">#REF!</definedName>
    <definedName name="A__1" localSheetId="10">[7]MEMORIAL!#REF!</definedName>
    <definedName name="A__1" localSheetId="11">[7]MEMORIAL!#REF!</definedName>
    <definedName name="A__1">#REF!</definedName>
    <definedName name="A__1_1" localSheetId="10">[7]MEMORIAL!#REF!</definedName>
    <definedName name="A__1_1" localSheetId="11">[7]MEMORIAL!#REF!</definedName>
    <definedName name="A__1_1">#REF!</definedName>
    <definedName name="A__2" localSheetId="11">[7]MEMORIAL!#REF!</definedName>
    <definedName name="A__2">#REF!</definedName>
    <definedName name="A__2_1" localSheetId="11">[7]MEMORIAL!#REF!</definedName>
    <definedName name="A__2_1">#REF!</definedName>
    <definedName name="A__3" localSheetId="11">[7]MEMORIAL!#REF!</definedName>
    <definedName name="A__3">#REF!</definedName>
    <definedName name="A__3_1" localSheetId="11">[7]MEMORIAL!#REF!</definedName>
    <definedName name="A__3_1">#REF!</definedName>
    <definedName name="A__4" localSheetId="11">[7]MEMORIAL!#REF!</definedName>
    <definedName name="A__4">#REF!</definedName>
    <definedName name="A__4_1" localSheetId="11">[7]MEMORIAL!#REF!</definedName>
    <definedName name="A__4_1">#REF!</definedName>
    <definedName name="A__5" localSheetId="11">[7]MEMORIAL!#REF!</definedName>
    <definedName name="A__5">#REF!</definedName>
    <definedName name="A__5_1" localSheetId="11">[7]MEMORIAL!#REF!</definedName>
    <definedName name="A__5_1">#REF!</definedName>
    <definedName name="A__6" localSheetId="11">[7]MEMORIAL!#REF!</definedName>
    <definedName name="A__6">#REF!</definedName>
    <definedName name="A__6_1" localSheetId="11">[7]MEMORIAL!#REF!</definedName>
    <definedName name="A__6_1">#REF!</definedName>
    <definedName name="A_1" localSheetId="11">[7]MEMORIAL!#REF!</definedName>
    <definedName name="A_1">#REF!</definedName>
    <definedName name="A_1_1" localSheetId="11">[7]MEMORIAL!#REF!</definedName>
    <definedName name="A_1_1">#REF!</definedName>
    <definedName name="A_2" localSheetId="11">[7]MEMORIAL!#REF!</definedName>
    <definedName name="A_2">#REF!</definedName>
    <definedName name="A_2_1" localSheetId="11">[7]MEMORIAL!#REF!</definedName>
    <definedName name="A_2_1">#REF!</definedName>
    <definedName name="A_3" localSheetId="11">[7]MEMORIAL!#REF!</definedName>
    <definedName name="A_3">#REF!</definedName>
    <definedName name="A_3_1" localSheetId="11">[7]MEMORIAL!#REF!</definedName>
    <definedName name="A_3_1">#REF!</definedName>
    <definedName name="A_4" localSheetId="11">[7]MEMORIAL!#REF!</definedName>
    <definedName name="A_4">#REF!</definedName>
    <definedName name="a1B16279" localSheetId="16">#REF!</definedName>
    <definedName name="a1B16279" localSheetId="10">#REF!</definedName>
    <definedName name="a1B16279" localSheetId="11">#REF!</definedName>
    <definedName name="a1B16279" localSheetId="1">#REF!</definedName>
    <definedName name="a1B16279" localSheetId="2">#REF!</definedName>
    <definedName name="a1B16279">#REF!</definedName>
    <definedName name="Aa" localSheetId="4">#REF!</definedName>
    <definedName name="Aa" localSheetId="11">#REF!</definedName>
    <definedName name="Aa">#REF!</definedName>
    <definedName name="AAA" localSheetId="16">#REF!</definedName>
    <definedName name="AAA" localSheetId="11">#REF!</definedName>
    <definedName name="AAA">#REF!</definedName>
    <definedName name="aaaa" localSheetId="16">#REF!</definedName>
    <definedName name="AAAA" localSheetId="11">'[8]PLANILHA DE QUANT. E CUSTOS A'!#REF!</definedName>
    <definedName name="AAAA">#REF!</definedName>
    <definedName name="aaaaa" localSheetId="11">'[8]PLANILHA DE QUANT. E CUSTOS A'!#REF!</definedName>
    <definedName name="aaaaa">#REF!</definedName>
    <definedName name="aaaaaa2" localSheetId="10">#REF!,#REF!</definedName>
    <definedName name="aaaaaa2" localSheetId="11">#REF!,#REF!</definedName>
    <definedName name="aaaaaa2">#REF!,#REF!</definedName>
    <definedName name="AAAAAAAA" localSheetId="11">#REF!,#REF!</definedName>
    <definedName name="AAAAAAAA">#REF!,#REF!</definedName>
    <definedName name="aaaaaaaaaaa" localSheetId="11">#REF!,#REF!</definedName>
    <definedName name="aaaaaaaaaaa">#REF!,#REF!</definedName>
    <definedName name="AB" localSheetId="11">'[8]PLANILHA DE QUANT. E CUSTOS A'!#REF!</definedName>
    <definedName name="AB">#REF!</definedName>
    <definedName name="ABC" localSheetId="16">#REF!</definedName>
    <definedName name="ABC" localSheetId="4">#REF!</definedName>
    <definedName name="ABC" localSheetId="11">#REF!</definedName>
    <definedName name="ABC" localSheetId="12">#REF!</definedName>
    <definedName name="ABC">#REF!</definedName>
    <definedName name="Ac" localSheetId="16">#REF!</definedName>
    <definedName name="Ac" localSheetId="11">#REF!</definedName>
    <definedName name="Ac">#REF!</definedName>
    <definedName name="acha.coluna" localSheetId="11">#REF!</definedName>
    <definedName name="acha.coluna">#REF!</definedName>
    <definedName name="acha.dados" localSheetId="11">#REF!</definedName>
    <definedName name="acha.dados">#REF!</definedName>
    <definedName name="acha.linha" localSheetId="11">#REF!</definedName>
    <definedName name="acha.linha">#REF!</definedName>
    <definedName name="ACRESC.22" localSheetId="16">#REF!</definedName>
    <definedName name="ACRESC.22" localSheetId="11">#REF!</definedName>
    <definedName name="ACRESC.22">#REF!</definedName>
    <definedName name="Adut" localSheetId="11" hidden="1">#REF!</definedName>
    <definedName name="Adut" hidden="1">#REF!</definedName>
    <definedName name="ADWEF" localSheetId="16">#REF!</definedName>
    <definedName name="ADWEF" localSheetId="4">#REF!</definedName>
    <definedName name="ADWEF" localSheetId="11">#REF!</definedName>
    <definedName name="ADWEF" localSheetId="12">#REF!</definedName>
    <definedName name="ADWEF">#REF!</definedName>
    <definedName name="ADWEF_1" localSheetId="16">#REF!</definedName>
    <definedName name="ADWEF_1" localSheetId="4">#REF!</definedName>
    <definedName name="ADWEF_1" localSheetId="11">#REF!</definedName>
    <definedName name="ADWEF_1" localSheetId="12">#REF!</definedName>
    <definedName name="ADWEF_1">#REF!</definedName>
    <definedName name="ADWEFF" localSheetId="16">#REF!</definedName>
    <definedName name="ADWEFF" localSheetId="11">#REF!</definedName>
    <definedName name="ADWEFF">#REF!</definedName>
    <definedName name="AF" localSheetId="11">'[8]PLANILHA DE QUANT. E CUSTOS A'!#REF!</definedName>
    <definedName name="AF">#REF!</definedName>
    <definedName name="AJUDA" localSheetId="10">#REF!</definedName>
    <definedName name="AJUDA" localSheetId="11">#REF!</definedName>
    <definedName name="AJUDA">#REF!</definedName>
    <definedName name="Ala" localSheetId="10">'[3]Bm 8'!#REF!</definedName>
    <definedName name="Ala" localSheetId="11">'[3]Bm 8'!#REF!</definedName>
    <definedName name="Ala">#REF!</definedName>
    <definedName name="Alex" localSheetId="16">#REF!</definedName>
    <definedName name="Alex" localSheetId="10">#REF!</definedName>
    <definedName name="Alex" localSheetId="11">#REF!</definedName>
    <definedName name="Alex" localSheetId="1">#REF!</definedName>
    <definedName name="Alex" localSheetId="2">#REF!</definedName>
    <definedName name="Alex">#REF!</definedName>
    <definedName name="ALIAS" localSheetId="16">#REF!</definedName>
    <definedName name="ALIAS" localSheetId="11">#REF!</definedName>
    <definedName name="ALIAS" localSheetId="1">#REF!</definedName>
    <definedName name="ALIAS" localSheetId="2">#REF!</definedName>
    <definedName name="ALIAS">#REF!</definedName>
    <definedName name="ANA" localSheetId="11">'[9]Refor Out. 2001 - BDI=20% Ajust'!#REF!</definedName>
    <definedName name="ANA" localSheetId="1">#REF!</definedName>
    <definedName name="ANA" localSheetId="2">#REF!</definedName>
    <definedName name="ANA">#REF!</definedName>
    <definedName name="ANEXO_10_MATRIZ_DE_RESPONSABILIDADE" localSheetId="10">#REF!</definedName>
    <definedName name="ANEXO_10_MATRIZ_DE_RESPONSABILIDADE" localSheetId="11">#REF!</definedName>
    <definedName name="ANEXO_10_MATRIZ_DE_RESPONSABILIDADE">#REF!</definedName>
    <definedName name="anexo_I" localSheetId="16">#REF!</definedName>
    <definedName name="anexo_I" localSheetId="11">#REF!</definedName>
    <definedName name="anexo_I">#REF!</definedName>
    <definedName name="APARENTE" localSheetId="16">#REF!</definedName>
    <definedName name="APARENTE" localSheetId="11">#REF!</definedName>
    <definedName name="APARENTE" localSheetId="1">#REF!</definedName>
    <definedName name="APARENTE" localSheetId="2">#REF!</definedName>
    <definedName name="APARENTE">#REF!</definedName>
    <definedName name="area" localSheetId="11">'[10]BAIXO GUANDU ITAIMBE'!#REF!</definedName>
    <definedName name="area" localSheetId="1">#REF!</definedName>
    <definedName name="area" localSheetId="2">#REF!</definedName>
    <definedName name="area">#REF!</definedName>
    <definedName name="_xlnm.Print_Area" localSheetId="0">'00'!$B$1:$AF$337</definedName>
    <definedName name="_xlnm.Print_Area" localSheetId="16">'1.4'!$B$1:$U$52</definedName>
    <definedName name="_xlnm.Print_Area" localSheetId="3">'10 - EVOLUÇÃO FINANCEIRA'!$B$1:$O$41</definedName>
    <definedName name="_xlnm.Print_Area" localSheetId="39">'10.1'!$B$1:$U$52</definedName>
    <definedName name="_xlnm.Print_Area" localSheetId="40">'10.2'!$B$1:$U$52</definedName>
    <definedName name="_xlnm.Print_Area" localSheetId="4">'11 - RESUMO'!$B$1:$E$98</definedName>
    <definedName name="_xlnm.Print_Area" localSheetId="5">'12 - FINANCEIRA'!$A$2:$M$91</definedName>
    <definedName name="_xlnm.Print_Area" localSheetId="6">'13 - MEMÓRIA'!$B$1:$U$873</definedName>
    <definedName name="_xlnm.Print_Area" localSheetId="9">'15.1.1 CHECKLIST ROTINAS'!$A$1:$E$100</definedName>
    <definedName name="_xlnm.Print_Area" localSheetId="7">'15.2 - VERIFICAÇÃO AMBIENTAL'!$A$1:$D$17</definedName>
    <definedName name="_xlnm.Print_Area" localSheetId="10">'15.2 - VERIFICAÇÃO AMBIENTAL 2'!$A$1:$D$17</definedName>
    <definedName name="_xlnm.Print_Area" localSheetId="10">'15.2 - VERIFICAÇÃO AMBIENTAL 2'!$A$1:$D$17</definedName>
    <definedName name="_xlnm.Print_Area" localSheetId="11">'15.3-REL. FOTOGRAFICO'!$A$1:$B$6</definedName>
    <definedName name="_xlnm.Print_Area" localSheetId="12">'16 - INSPEÇÕES'!$A$1:$AC$25</definedName>
    <definedName name="_xlnm.Print_Area" localSheetId="13">'18 - CHECKLIST 1'!$A$1:$E$32</definedName>
    <definedName name="_xlnm.Print_Area" localSheetId="14">'18 - CHECKLIST 2'!$A$1:$E$36</definedName>
    <definedName name="_xlnm.Print_Area" localSheetId="17">'3.4'!$B$1:$U$54</definedName>
    <definedName name="_xlnm.Print_Area" localSheetId="22">'5.12'!$B$1:$U$52</definedName>
    <definedName name="_xlnm.Print_Area" localSheetId="18">'5.3'!$B$1:$U$51</definedName>
    <definedName name="_xlnm.Print_Area" localSheetId="19">'5.5'!$B$1:$U$53</definedName>
    <definedName name="_xlnm.Print_Area" localSheetId="20">'5.6'!$B$1:$U$53</definedName>
    <definedName name="_xlnm.Print_Area" localSheetId="21">'5.9'!$B$1:$U$52</definedName>
    <definedName name="_xlnm.Print_Area" localSheetId="23">'6.4.6'!$B$1:$U$52</definedName>
    <definedName name="_xlnm.Print_Area" localSheetId="24">'7.1'!$B$1:$U$52</definedName>
    <definedName name="_xlnm.Print_Area" localSheetId="30">'7.10'!$B$1:$U$52</definedName>
    <definedName name="_xlnm.Print_Area" localSheetId="31">'7.13'!$B$1:$U$52</definedName>
    <definedName name="_xlnm.Print_Area" localSheetId="25">'7.2'!$B$1:$U$52</definedName>
    <definedName name="_xlnm.Print_Area" localSheetId="32">'7.28'!$B$1:$U$52</definedName>
    <definedName name="_xlnm.Print_Area" localSheetId="26">'7.6'!$B$1:$U$52</definedName>
    <definedName name="_xlnm.Print_Area" localSheetId="27">'7.7'!$B$1:$U$52</definedName>
    <definedName name="_xlnm.Print_Area" localSheetId="28">'7.8'!$B$1:$U$52</definedName>
    <definedName name="_xlnm.Print_Area" localSheetId="29">'7.9'!$B$1:$U$54</definedName>
    <definedName name="_xlnm.Print_Area" localSheetId="33">'9.1'!$B$1:$U$52</definedName>
    <definedName name="_xlnm.Print_Area" localSheetId="1">'9.1 - CRONOGRAMA'!$A$1:$O$60</definedName>
    <definedName name="_xlnm.Print_Area" localSheetId="38">'9.14'!$B$1:$U$52</definedName>
    <definedName name="_xlnm.Print_Area" localSheetId="34">'9.2'!$B$1:$U$52</definedName>
    <definedName name="_xlnm.Print_Area" localSheetId="2">'9.2 - CURVA'!$A$1:$Z$123</definedName>
    <definedName name="_xlnm.Print_Area" localSheetId="35">'9.3'!$B$1:$U$52</definedName>
    <definedName name="_xlnm.Print_Area" localSheetId="36">'9.4'!$B$1:$U$52</definedName>
    <definedName name="_xlnm.Print_Area" localSheetId="37">'9.5'!$B$1:$U$52</definedName>
    <definedName name="_xlnm.Print_Area" localSheetId="15">Reaterro!$A$1:$N$32</definedName>
    <definedName name="_xlnm.Print_Area">#REF!</definedName>
    <definedName name="Área_impressão_IM">"$#REF!.$A$1:$H$39"</definedName>
    <definedName name="Área_impressão_IM_1">"$#REF!.$A$1:$H$39"</definedName>
    <definedName name="Área_impressão_IM_5">"$#REF!.$A$1:$H$39"</definedName>
    <definedName name="areia" localSheetId="10">'[10]BAIXO GUANDU ITAIMBE'!#REF!</definedName>
    <definedName name="areia" localSheetId="11">'[10]BAIXO GUANDU ITAIMBE'!#REF!</definedName>
    <definedName name="areia" localSheetId="1">#REF!</definedName>
    <definedName name="areia" localSheetId="2">#REF!</definedName>
    <definedName name="areia">#REF!</definedName>
    <definedName name="arta" localSheetId="16">#REF!</definedName>
    <definedName name="arta" localSheetId="10">#REF!</definedName>
    <definedName name="arta" localSheetId="11">#REF!</definedName>
    <definedName name="arta" localSheetId="1">#REF!</definedName>
    <definedName name="arta" localSheetId="2">#REF!</definedName>
    <definedName name="arta">#REF!</definedName>
    <definedName name="as" localSheetId="16">#REF!</definedName>
    <definedName name="as" localSheetId="4">#REF!</definedName>
    <definedName name="as" localSheetId="11">#REF!</definedName>
    <definedName name="as" localSheetId="12">#REF!</definedName>
    <definedName name="as">#REF!</definedName>
    <definedName name="asa" localSheetId="0">#REF!</definedName>
    <definedName name="asa" localSheetId="11">#REF!</definedName>
    <definedName name="asa">#REF!</definedName>
    <definedName name="ASDASDASD">#REF!</definedName>
    <definedName name="asdf" localSheetId="16">#REF!</definedName>
    <definedName name="asdf" localSheetId="4">#REF!</definedName>
    <definedName name="asdf" localSheetId="11">#REF!</definedName>
    <definedName name="asdf" localSheetId="12">#REF!</definedName>
    <definedName name="asdf">#REF!</definedName>
    <definedName name="ASDSSS" localSheetId="16">#REF!</definedName>
    <definedName name="ASDSSS" localSheetId="4">#REF!</definedName>
    <definedName name="ASDSSS" localSheetId="11">#REF!</definedName>
    <definedName name="ASDSSS" localSheetId="12">#REF!</definedName>
    <definedName name="ASDSSS">#REF!</definedName>
    <definedName name="ASFALTO" localSheetId="16">#REF!</definedName>
    <definedName name="ASFALTO" localSheetId="11">#REF!</definedName>
    <definedName name="ASFALTO">#REF!</definedName>
    <definedName name="ASFALTO_1" localSheetId="16">#REF!</definedName>
    <definedName name="ASFALTO_1" localSheetId="11">#REF!</definedName>
    <definedName name="ASFALTO_1">#REF!</definedName>
    <definedName name="ASPECTO_ARQ" localSheetId="11">[11]Plan1!$A$145:$A$148</definedName>
    <definedName name="ASPECTO_ARQ" localSheetId="1">#REF!</definedName>
    <definedName name="ASPECTO_ARQ" localSheetId="2">#REF!</definedName>
    <definedName name="ASPECTO_ARQ">#REF!</definedName>
    <definedName name="ATA_DE_REUNIÃO" localSheetId="10">#REF!</definedName>
    <definedName name="ATA_DE_REUNIÃO" localSheetId="11">#REF!</definedName>
    <definedName name="ATA_DE_REUNIÃO">#REF!</definedName>
    <definedName name="ATERRO" localSheetId="16">#REF!</definedName>
    <definedName name="ATERRO" localSheetId="11">#REF!</definedName>
    <definedName name="ATERRO">#REF!</definedName>
    <definedName name="ATERRO_100" localSheetId="16">#REF!</definedName>
    <definedName name="ATERRO_100" localSheetId="11">#REF!</definedName>
    <definedName name="ATERRO_100">#REF!</definedName>
    <definedName name="AUXILIARES" localSheetId="11">#REF!</definedName>
    <definedName name="AUXILIARES">#REF!</definedName>
    <definedName name="b" localSheetId="16">#REF!</definedName>
    <definedName name="B" localSheetId="11">#REF!</definedName>
    <definedName name="B">#REF!</definedName>
    <definedName name="B_MEC" localSheetId="11">#REF!</definedName>
    <definedName name="B_MEC">#REF!</definedName>
    <definedName name="Banco_dados_IM" localSheetId="16">#REF!</definedName>
    <definedName name="Banco_dados_IM" localSheetId="11">#REF!</definedName>
    <definedName name="Banco_dados_IM">#REF!</definedName>
    <definedName name="_xlnm.Database" localSheetId="16">#REF!</definedName>
    <definedName name="_xlnm.Database" localSheetId="11">#REF!</definedName>
    <definedName name="_xlnm.Database">#REF!</definedName>
    <definedName name="BBB" localSheetId="16">#REF!</definedName>
    <definedName name="BBB" localSheetId="11">#REF!</definedName>
    <definedName name="BBB">#REF!</definedName>
    <definedName name="BBBB" localSheetId="11">'[8]PLANILHA DE QUANT. E CUSTOS A'!#REF!</definedName>
    <definedName name="BBBB">#REF!</definedName>
    <definedName name="BBBBBBB" localSheetId="16">#REF!</definedName>
    <definedName name="BBBBBBB" localSheetId="10">#REF!</definedName>
    <definedName name="BBBBBBB" localSheetId="11">#REF!</definedName>
    <definedName name="BBBBBBB" localSheetId="1">#REF!</definedName>
    <definedName name="BBBBBBB" localSheetId="2">#REF!</definedName>
    <definedName name="BBBBBBB">#REF!</definedName>
    <definedName name="BC" localSheetId="16">#REF!</definedName>
    <definedName name="BC" localSheetId="11">#REF!</definedName>
    <definedName name="BC" localSheetId="1">#REF!</definedName>
    <definedName name="BC" localSheetId="2">#REF!</definedName>
    <definedName name="BC">#REF!</definedName>
    <definedName name="BDD_01" localSheetId="11">#REF!</definedName>
    <definedName name="BDD_01">#REF!</definedName>
    <definedName name="BDI" localSheetId="16">#REF!</definedName>
    <definedName name="BDI" localSheetId="11">#REF!</definedName>
    <definedName name="BDI" localSheetId="1">#REF!</definedName>
    <definedName name="BDI" localSheetId="2">#REF!</definedName>
    <definedName name="BDI">#REF!</definedName>
    <definedName name="BDIc" localSheetId="16">#REF!</definedName>
    <definedName name="BDIc" localSheetId="11">#REF!</definedName>
    <definedName name="BDIc">#REF!</definedName>
    <definedName name="BDIf" localSheetId="16">#REF!</definedName>
    <definedName name="BDIf" localSheetId="11">#REF!</definedName>
    <definedName name="BDIf">#REF!</definedName>
    <definedName name="BDTC100" localSheetId="16">#REF!</definedName>
    <definedName name="BDTC100" localSheetId="11">#REF!</definedName>
    <definedName name="BDTC100">#REF!</definedName>
    <definedName name="BF" localSheetId="11">[12]MEMORIAL!#REF!</definedName>
    <definedName name="BF">#REF!</definedName>
    <definedName name="BF_1" localSheetId="11">[13]MEMORIAL!#REF!</definedName>
    <definedName name="BF_1">#REF!</definedName>
    <definedName name="BG" localSheetId="16">#REF!</definedName>
    <definedName name="BG" localSheetId="10">#REF!</definedName>
    <definedName name="BG" localSheetId="11">#REF!</definedName>
    <definedName name="BG" localSheetId="1">#REF!</definedName>
    <definedName name="BG" localSheetId="2">#REF!</definedName>
    <definedName name="BG">#REF!</definedName>
    <definedName name="BLOCO" localSheetId="10">[4]PLANILHA!#REF!</definedName>
    <definedName name="BLOCO" localSheetId="11">[4]PLANILHA!#REF!</definedName>
    <definedName name="BLOCO">#REF!</definedName>
    <definedName name="BLOCRET" localSheetId="16">#REF!</definedName>
    <definedName name="BLOCRET" localSheetId="10">#REF!</definedName>
    <definedName name="BLOCRET" localSheetId="11">#REF!</definedName>
    <definedName name="BLOCRET" localSheetId="1">#REF!</definedName>
    <definedName name="BLOCRET" localSheetId="2">#REF!</definedName>
    <definedName name="BLOCRET">#REF!</definedName>
    <definedName name="BLOCRET_1" localSheetId="16">#REF!</definedName>
    <definedName name="BLOCRET_1" localSheetId="11">#REF!</definedName>
    <definedName name="BLOCRET_1">#REF!</definedName>
    <definedName name="BRITAS" localSheetId="16">#REF!</definedName>
    <definedName name="BRITAS" localSheetId="11">#REF!</definedName>
    <definedName name="BRITAS">#REF!</definedName>
    <definedName name="BTTC1200" localSheetId="16">#REF!</definedName>
    <definedName name="BTTC1200" localSheetId="11">#REF!</definedName>
    <definedName name="BTTC1200">#REF!</definedName>
    <definedName name="BTTC12001" localSheetId="11">'[8]PLANILHA DE QUANT. E CUSTOS A'!#REF!</definedName>
    <definedName name="BTTC12001" localSheetId="12">#REF!</definedName>
    <definedName name="BTTC12001" localSheetId="14">#REF!</definedName>
    <definedName name="BTTC12001">#REF!</definedName>
    <definedName name="BTTC1200ADASDS" localSheetId="16">#REF!</definedName>
    <definedName name="BTTC1200ADASDS" localSheetId="4">#REF!</definedName>
    <definedName name="BTTC1200ADASDS" localSheetId="11">#REF!</definedName>
    <definedName name="BTTC1200ADASDS" localSheetId="12">#REF!</definedName>
    <definedName name="BTTC1200ADASDS">#REF!</definedName>
    <definedName name="cadm" localSheetId="11">#REF!</definedName>
    <definedName name="cadm">#REF!</definedName>
    <definedName name="carlos" localSheetId="11">[6]Reforma!#REF!</definedName>
    <definedName name="carlos">#REF!</definedName>
    <definedName name="CASH_FLOW" localSheetId="11">#REF!</definedName>
    <definedName name="CASH_FLOW">#REF!</definedName>
    <definedName name="CBUQ" localSheetId="11">#REF!,#REF!</definedName>
    <definedName name="CBUQ">#REF!,#REF!</definedName>
    <definedName name="cbuq2" localSheetId="11">#REF!,#REF!</definedName>
    <definedName name="cbuq2">#REF!,#REF!</definedName>
    <definedName name="ccc" localSheetId="11">#REF!,#REF!</definedName>
    <definedName name="ccc">#REF!,#REF!</definedName>
    <definedName name="CCCCCCCCCCCCCCCC" localSheetId="16">#REF!</definedName>
    <definedName name="CCCCCCCCCCCCCCCC" localSheetId="4">#REF!</definedName>
    <definedName name="CCCCCCCCCCCCCCCC" localSheetId="11">#REF!</definedName>
    <definedName name="CCCCCCCCCCCCCCCC" localSheetId="12">#REF!</definedName>
    <definedName name="CCCCCCCCCCCCCCCC">#REF!</definedName>
    <definedName name="CCCCCCCCCCCCCCCCC" localSheetId="16">#REF!</definedName>
    <definedName name="CCCCCCCCCCCCCCCCC" localSheetId="4">#REF!</definedName>
    <definedName name="CCCCCCCCCCCCCCCCC" localSheetId="11">#REF!</definedName>
    <definedName name="CCCCCCCCCCCCCCCCC" localSheetId="12">#REF!</definedName>
    <definedName name="CCCCCCCCCCCCCCCCC">#REF!</definedName>
    <definedName name="ciclopico" localSheetId="11">[13]MEMORIAL!#REF!</definedName>
    <definedName name="ciclopico">#REF!</definedName>
    <definedName name="ciclopico_1" localSheetId="11">[13]MEMORIAL!#REF!</definedName>
    <definedName name="ciclopico_1">#REF!</definedName>
    <definedName name="Cliente" localSheetId="10">#REF!</definedName>
    <definedName name="Cliente" localSheetId="11">#REF!</definedName>
    <definedName name="Cliente">#REF!</definedName>
    <definedName name="Código" localSheetId="11">#REF!</definedName>
    <definedName name="Código">#REF!</definedName>
    <definedName name="COMPLETO" localSheetId="16">#REF!</definedName>
    <definedName name="COMPLETO" localSheetId="11">#REF!</definedName>
    <definedName name="COMPLETO">#REF!</definedName>
    <definedName name="COMPOSICAO01" localSheetId="16">#REF!</definedName>
    <definedName name="COMPOSICAO01" localSheetId="11">#REF!</definedName>
    <definedName name="COMPOSICAO01">#REF!</definedName>
    <definedName name="COMPOSIÇÃO01" localSheetId="16">#REF!</definedName>
    <definedName name="COMPOSIÇÃO01" localSheetId="11">#REF!</definedName>
    <definedName name="COMPOSIÇÃO01">#REF!</definedName>
    <definedName name="COMPOSICAO01_1" localSheetId="16">#REF!</definedName>
    <definedName name="COMPOSICAO01_1" localSheetId="11">#REF!</definedName>
    <definedName name="COMPOSICAO01_1">#REF!</definedName>
    <definedName name="COMPOSICAO02" localSheetId="16">#REF!</definedName>
    <definedName name="COMPOSICAO02" localSheetId="11">#REF!</definedName>
    <definedName name="COMPOSICAO02">#REF!</definedName>
    <definedName name="COMPOSICAO02_1" localSheetId="16">#REF!</definedName>
    <definedName name="COMPOSICAO02_1" localSheetId="11">#REF!</definedName>
    <definedName name="COMPOSICAO02_1">#REF!</definedName>
    <definedName name="Comprimento_Equivalente" localSheetId="11">#REF!</definedName>
    <definedName name="Comprimento_Equivalente">#REF!</definedName>
    <definedName name="concciclo" localSheetId="16">#REF!</definedName>
    <definedName name="concciclo" localSheetId="11">#REF!</definedName>
    <definedName name="concciclo">#REF!</definedName>
    <definedName name="concreto" localSheetId="16">#REF!</definedName>
    <definedName name="concreto" localSheetId="11">#REF!</definedName>
    <definedName name="concreto">#REF!</definedName>
    <definedName name="CONDICOES_ACESSO" localSheetId="11">[11]Plan1!$A$26:$A$29</definedName>
    <definedName name="CONDICOES_ACESSO" localSheetId="1">#REF!</definedName>
    <definedName name="CONDICOES_ACESSO" localSheetId="2">#REF!</definedName>
    <definedName name="CONDICOES_ACESSO">#REF!</definedName>
    <definedName name="Construtora" localSheetId="16">#REF!</definedName>
    <definedName name="Construtora" localSheetId="10">#REF!</definedName>
    <definedName name="Construtora" localSheetId="11">#REF!</definedName>
    <definedName name="Construtora" localSheetId="1">#REF!</definedName>
    <definedName name="Construtora" localSheetId="2">#REF!</definedName>
    <definedName name="Construtora">#REF!</definedName>
    <definedName name="contratada" localSheetId="11">#REF!</definedName>
    <definedName name="contratada">#REF!</definedName>
    <definedName name="CORTE" localSheetId="16">#REF!</definedName>
    <definedName name="CORTE" localSheetId="11">#REF!</definedName>
    <definedName name="CORTE">#REF!</definedName>
    <definedName name="COTA_GREIDE" localSheetId="11">[11]Plan1!$A$52:$A$55</definedName>
    <definedName name="COTA_GREIDE" localSheetId="1">#REF!</definedName>
    <definedName name="COTA_GREIDE" localSheetId="2">#REF!</definedName>
    <definedName name="COTA_GREIDE">#REF!</definedName>
    <definedName name="CRG_01">#REF!</definedName>
    <definedName name="critério" localSheetId="10">#REF!</definedName>
    <definedName name="critério" localSheetId="11">#REF!</definedName>
    <definedName name="critério">#REF!</definedName>
    <definedName name="critério1" localSheetId="11">#REF!</definedName>
    <definedName name="critério1">#REF!</definedName>
    <definedName name="crono" localSheetId="16">#REF!</definedName>
    <definedName name="crono" localSheetId="11">#REF!</definedName>
    <definedName name="crono" localSheetId="1">#REF!</definedName>
    <definedName name="crono" localSheetId="2">#REF!</definedName>
    <definedName name="crono">#REF!</definedName>
    <definedName name="cronograma" localSheetId="16">#REF!</definedName>
    <definedName name="cronograma" localSheetId="11">#REF!</definedName>
    <definedName name="cronograma">#REF!</definedName>
    <definedName name="CSA" localSheetId="16">#REF!</definedName>
    <definedName name="CSA" localSheetId="11">#REF!</definedName>
    <definedName name="CSA">#REF!</definedName>
    <definedName name="CSA_1" localSheetId="16">#REF!</definedName>
    <definedName name="CSA_1" localSheetId="11">#REF!</definedName>
    <definedName name="CSA_1">#REF!</definedName>
    <definedName name="CSPP" localSheetId="16">#REF!</definedName>
    <definedName name="CSPP" localSheetId="11">#REF!</definedName>
    <definedName name="CSPP">#REF!</definedName>
    <definedName name="CSPP_1" localSheetId="16">#REF!</definedName>
    <definedName name="CSPP_1" localSheetId="11">#REF!</definedName>
    <definedName name="CSPP_1">#REF!</definedName>
    <definedName name="CUSTO_DE_COMBUSTÍVEL_E_LUFRIFICANTES" localSheetId="11">#REF!</definedName>
    <definedName name="CUSTO_DE_COMBUSTÍVEL_E_LUFRIFICANTES">#REF!</definedName>
    <definedName name="CustoReal" localSheetId="16">#REF!</definedName>
    <definedName name="CustoReal" localSheetId="11">#REF!</definedName>
    <definedName name="CustoReal">#REF!</definedName>
    <definedName name="cx" localSheetId="16" hidden="1">{#N/A,#N/A,FALSE,"MO (2)"}</definedName>
    <definedName name="cx" localSheetId="10" hidden="1">{#N/A,#N/A,FALSE,"MO (2)"}</definedName>
    <definedName name="cx" localSheetId="11" hidden="1">{#N/A,#N/A,FALSE,"MO (2)"}</definedName>
    <definedName name="cx" localSheetId="2" hidden="1">{#N/A,#N/A,FALSE,"MO (2)"}</definedName>
    <definedName name="cx" hidden="1">{#N/A,#N/A,FALSE,"MO (2)"}</definedName>
    <definedName name="cx." localSheetId="16" hidden="1">{#N/A,#N/A,FALSE,"MO (2)"}</definedName>
    <definedName name="cx." localSheetId="10" hidden="1">{#N/A,#N/A,FALSE,"MO (2)"}</definedName>
    <definedName name="cx." localSheetId="11" hidden="1">{#N/A,#N/A,FALSE,"MO (2)"}</definedName>
    <definedName name="cx." localSheetId="2" hidden="1">{#N/A,#N/A,FALSE,"MO (2)"}</definedName>
    <definedName name="cx." hidden="1">{#N/A,#N/A,FALSE,"MO (2)"}</definedName>
    <definedName name="D" localSheetId="16">#REF!</definedName>
    <definedName name="D" localSheetId="10">#REF!</definedName>
    <definedName name="D" localSheetId="11">#REF!</definedName>
    <definedName name="D">#REF!</definedName>
    <definedName name="daddf" localSheetId="16">#REF!</definedName>
    <definedName name="daddf" localSheetId="11">#REF!</definedName>
    <definedName name="daddf">#REF!</definedName>
    <definedName name="DADOS" localSheetId="11">#REF!</definedName>
    <definedName name="DADOS">#REF!</definedName>
    <definedName name="DASDA" localSheetId="16">#REF!</definedName>
    <definedName name="DASDA" localSheetId="11">#REF!</definedName>
    <definedName name="DASDA">#REF!</definedName>
    <definedName name="dat" localSheetId="16">#REF!</definedName>
    <definedName name="dat" localSheetId="11">#REF!</definedName>
    <definedName name="dat">#REF!</definedName>
    <definedName name="DATA" localSheetId="16">#REF!</definedName>
    <definedName name="DATA" localSheetId="11">#REF!</definedName>
    <definedName name="DATA">#REF!</definedName>
    <definedName name="DATA_17" localSheetId="16">#REF!</definedName>
    <definedName name="DATA_17" localSheetId="11">#REF!</definedName>
    <definedName name="DATA_17">#REF!</definedName>
    <definedName name="DATA_8" localSheetId="16">#REF!</definedName>
    <definedName name="DATA_8" localSheetId="11">#REF!</definedName>
    <definedName name="DATA_8">#REF!</definedName>
    <definedName name="DATA1" localSheetId="16">#REF!</definedName>
    <definedName name="data1" localSheetId="11">#REF!</definedName>
    <definedName name="data1">#REF!</definedName>
    <definedName name="dataf" localSheetId="16">#REF!</definedName>
    <definedName name="dataf" localSheetId="11">#REF!</definedName>
    <definedName name="dataf">#REF!</definedName>
    <definedName name="DD" localSheetId="16">#REF!</definedName>
    <definedName name="DD" localSheetId="11">#REF!</definedName>
    <definedName name="DD">#REF!</definedName>
    <definedName name="DD_2" localSheetId="16">#REF!</definedName>
    <definedName name="DD_2" localSheetId="11">#REF!</definedName>
    <definedName name="DD_2">#REF!</definedName>
    <definedName name="DD_5" localSheetId="16">#REF!</definedName>
    <definedName name="DD_5" localSheetId="11">#REF!</definedName>
    <definedName name="DD_5">#REF!</definedName>
    <definedName name="DDF" localSheetId="16">#REF!</definedName>
    <definedName name="DDF" localSheetId="11">#REF!</definedName>
    <definedName name="DDF">#REF!</definedName>
    <definedName name="DEFOFO" localSheetId="16">#REF!</definedName>
    <definedName name="DEFOFO" localSheetId="11">#REF!</definedName>
    <definedName name="DEFOFO">#REF!</definedName>
    <definedName name="DEFOFO100" localSheetId="16">#REF!</definedName>
    <definedName name="DEFOFO100" localSheetId="11">#REF!</definedName>
    <definedName name="DEFOFO100">#REF!</definedName>
    <definedName name="DEFOFO150" localSheetId="16">#REF!</definedName>
    <definedName name="DEFOFO150" localSheetId="11">#REF!</definedName>
    <definedName name="DEFOFO150">#REF!</definedName>
    <definedName name="DEFOFO200" localSheetId="16">#REF!</definedName>
    <definedName name="DEFOFO200" localSheetId="11">#REF!</definedName>
    <definedName name="DEFOFO200">#REF!</definedName>
    <definedName name="DEFOFO250" localSheetId="16">#REF!</definedName>
    <definedName name="DEFOFO250" localSheetId="11">#REF!</definedName>
    <definedName name="DEFOFO250">#REF!</definedName>
    <definedName name="DEFOFO300" localSheetId="16">#REF!</definedName>
    <definedName name="DEFOFO300" localSheetId="11">#REF!</definedName>
    <definedName name="DEFOFO300">#REF!</definedName>
    <definedName name="DEMANDA" localSheetId="11">[11]Plan1!$A$171:$A$174</definedName>
    <definedName name="DEMANDA" localSheetId="1">#REF!</definedName>
    <definedName name="DEMANDA" localSheetId="2">#REF!</definedName>
    <definedName name="DEMANDA">#REF!</definedName>
    <definedName name="DEMOLIÇÃO" localSheetId="16">#REF!</definedName>
    <definedName name="DEMOLIÇÃO" localSheetId="10">#REF!</definedName>
    <definedName name="DEMOLIÇÃO" localSheetId="11">#REF!</definedName>
    <definedName name="DEMOLIÇÃO">#REF!</definedName>
    <definedName name="DENSIDADE_HABITACIONAL" localSheetId="11">[11]Plan1!$A$34:$A$37</definedName>
    <definedName name="DENSIDADE_HABITACIONAL" localSheetId="1">#REF!</definedName>
    <definedName name="DENSIDADE_HABITACIONAL" localSheetId="2">#REF!</definedName>
    <definedName name="DENSIDADE_HABITACIONAL">#REF!</definedName>
    <definedName name="DESEMPENHO" localSheetId="11">[11]Plan1!$A$180:$A$183</definedName>
    <definedName name="DESEMPENHO" localSheetId="1">#REF!</definedName>
    <definedName name="DESEMPENHO" localSheetId="2">#REF!</definedName>
    <definedName name="DESEMPENHO">#REF!</definedName>
    <definedName name="DESTERRO" localSheetId="16">#REF!</definedName>
    <definedName name="DESTERRO" localSheetId="10">#REF!</definedName>
    <definedName name="DESTERRO" localSheetId="11">#REF!</definedName>
    <definedName name="DESTERRO" localSheetId="1">#REF!</definedName>
    <definedName name="DESTERRO" localSheetId="2">#REF!</definedName>
    <definedName name="DESTERRO">#REF!</definedName>
    <definedName name="df" localSheetId="16">#REF!</definedName>
    <definedName name="df" localSheetId="11">#REF!</definedName>
    <definedName name="df">#REF!</definedName>
    <definedName name="dfdd" localSheetId="16">#REF!</definedName>
    <definedName name="dfdd" localSheetId="11">#REF!</definedName>
    <definedName name="dfdd">#REF!</definedName>
    <definedName name="DFGFGD" localSheetId="16">#REF!</definedName>
    <definedName name="DFGFGD" localSheetId="11">#REF!</definedName>
    <definedName name="DFGFGD">#REF!</definedName>
    <definedName name="DFH" localSheetId="11">'[8]PLANILHA DE QUANT. E CUSTOS A'!#REF!</definedName>
    <definedName name="DFH" localSheetId="12">#REF!</definedName>
    <definedName name="DFH" localSheetId="14">#REF!</definedName>
    <definedName name="DFH">#REF!</definedName>
    <definedName name="DIAMETRO" localSheetId="10">#REF!</definedName>
    <definedName name="DIAMETRO" localSheetId="11">#REF!</definedName>
    <definedName name="DIAMETRO">#REF!</definedName>
    <definedName name="DIS">#REF!</definedName>
    <definedName name="DOC">#REF!</definedName>
    <definedName name="dois" localSheetId="16">#REF!</definedName>
    <definedName name="dois" localSheetId="10">#REF!</definedName>
    <definedName name="dois" localSheetId="11">#REF!</definedName>
    <definedName name="dois" localSheetId="1">#REF!</definedName>
    <definedName name="dois" localSheetId="2">#REF!</definedName>
    <definedName name="dois">#REF!</definedName>
    <definedName name="dre" localSheetId="16">#REF!</definedName>
    <definedName name="dre" localSheetId="11">#REF!</definedName>
    <definedName name="dre" localSheetId="1">#REF!</definedName>
    <definedName name="dre" localSheetId="2">#REF!</definedName>
    <definedName name="dre">#REF!</definedName>
    <definedName name="DREN" localSheetId="16">#REF!</definedName>
    <definedName name="DREN" localSheetId="11">#REF!</definedName>
    <definedName name="DREN" localSheetId="1">#REF!</definedName>
    <definedName name="DREN" localSheetId="2">#REF!</definedName>
    <definedName name="DREN">#REF!</definedName>
    <definedName name="drenag" localSheetId="16">#REF!</definedName>
    <definedName name="drenag" localSheetId="11">#REF!</definedName>
    <definedName name="drenag">#REF!</definedName>
    <definedName name="DRENAGEM" localSheetId="16">#REF!</definedName>
    <definedName name="DRENAGEM" localSheetId="4">#REF!</definedName>
    <definedName name="DRENAGEM" localSheetId="11">#REF!</definedName>
    <definedName name="DRENAGEM" localSheetId="12">#REF!</definedName>
    <definedName name="DRENAGEM">#REF!</definedName>
    <definedName name="DRENAGEM_17" localSheetId="16">#REF!</definedName>
    <definedName name="DRENAGEM_17" localSheetId="4">#REF!</definedName>
    <definedName name="DRENAGEM_17" localSheetId="11">#REF!</definedName>
    <definedName name="DRENAGEM_17" localSheetId="12">#REF!</definedName>
    <definedName name="DRENAGEM_17">#REF!</definedName>
    <definedName name="DRENAGEM_8" localSheetId="16">#REF!</definedName>
    <definedName name="DRENAGEM_8" localSheetId="4">#REF!</definedName>
    <definedName name="DRENAGEM_8" localSheetId="11">#REF!</definedName>
    <definedName name="DRENAGEM_8" localSheetId="12">#REF!</definedName>
    <definedName name="DRENAGEM_8">#REF!</definedName>
    <definedName name="DSDS">("$#REF!.$A$1:$H$65184~$#REF!.$A$1:$AMJ$14)))))))")</definedName>
    <definedName name="DUDU" localSheetId="10">'[14]Rede de Distribuição de Água'!#REF!</definedName>
    <definedName name="DUDU" localSheetId="11">'[14]Rede de Distribuição de Água'!#REF!</definedName>
    <definedName name="DUDU" localSheetId="1">#REF!</definedName>
    <definedName name="DUDU" localSheetId="2">#REF!</definedName>
    <definedName name="DUDU">#REF!</definedName>
    <definedName name="E" localSheetId="16">#REF!</definedName>
    <definedName name="E" localSheetId="10">#REF!</definedName>
    <definedName name="E" localSheetId="11">#REF!</definedName>
    <definedName name="E">#REF!</definedName>
    <definedName name="EDT">#REF!</definedName>
    <definedName name="ee" localSheetId="10">[6]Reforma!#REF!</definedName>
    <definedName name="ee" localSheetId="11">[6]Reforma!#REF!</definedName>
    <definedName name="ee" localSheetId="1">#REF!</definedName>
    <definedName name="ee" localSheetId="2">#REF!</definedName>
    <definedName name="ee">#REF!</definedName>
    <definedName name="EEE" localSheetId="16">#REF!</definedName>
    <definedName name="EEE" localSheetId="10">#REF!</definedName>
    <definedName name="EEE" localSheetId="11">#REF!</definedName>
    <definedName name="EEE" localSheetId="1">#REF!</definedName>
    <definedName name="EEE" localSheetId="2">#REF!</definedName>
    <definedName name="EEE">#REF!</definedName>
    <definedName name="EEEEE" localSheetId="10">[6]Reforma!#REF!</definedName>
    <definedName name="EEEEE" localSheetId="11">[6]Reforma!#REF!</definedName>
    <definedName name="EEEEE" localSheetId="1">#REF!</definedName>
    <definedName name="EEEEE" localSheetId="2">#REF!</definedName>
    <definedName name="EEEEE">#REF!</definedName>
    <definedName name="EEEEEEEEEEEEEEEEEE" localSheetId="16">#REF!</definedName>
    <definedName name="EEEEEEEEEEEEEEEEEE" localSheetId="10">#REF!</definedName>
    <definedName name="EEEEEEEEEEEEEEEEEE" localSheetId="11">#REF!</definedName>
    <definedName name="EEEEEEEEEEEEEEEEEE">#REF!</definedName>
    <definedName name="EFETIVO" localSheetId="11">#REF!</definedName>
    <definedName name="EFETIVO">#REF!</definedName>
    <definedName name="EMPRE" localSheetId="11">#REF!</definedName>
    <definedName name="EMPRE">#REF!</definedName>
    <definedName name="eng" localSheetId="16">#REF!</definedName>
    <definedName name="eng" localSheetId="11">#REF!</definedName>
    <definedName name="eng">#REF!</definedName>
    <definedName name="Eng.º_Const" localSheetId="16">#REF!</definedName>
    <definedName name="Eng.º_Const" localSheetId="11">#REF!</definedName>
    <definedName name="Eng.º_Const">#REF!</definedName>
    <definedName name="Eng.º_Super" localSheetId="16">#REF!</definedName>
    <definedName name="Eng.º_Super" localSheetId="11">#REF!</definedName>
    <definedName name="Eng.º_Super">#REF!</definedName>
    <definedName name="EQUIPAMENTO" localSheetId="11">#REF!</definedName>
    <definedName name="EQUIPAMENTO">#REF!</definedName>
    <definedName name="ER" localSheetId="11">[15]!PassaExtenso</definedName>
    <definedName name="ER" localSheetId="1">#REF!</definedName>
    <definedName name="ER" localSheetId="2">#REF!</definedName>
    <definedName name="ER">#REF!</definedName>
    <definedName name="ES" localSheetId="10">[6]Reforma!#REF!</definedName>
    <definedName name="ES" localSheetId="11">[6]Reforma!#REF!</definedName>
    <definedName name="ES" localSheetId="1">#REF!</definedName>
    <definedName name="ES" localSheetId="2">#REF!</definedName>
    <definedName name="ES">#REF!</definedName>
    <definedName name="Esc.3" localSheetId="16">#REF!</definedName>
    <definedName name="Esc.3" localSheetId="10">#REF!</definedName>
    <definedName name="Esc.3" localSheetId="11">#REF!</definedName>
    <definedName name="Esc.3">#REF!</definedName>
    <definedName name="ESQUADRIAS" localSheetId="11">[11]Plan1!$A$121:$A$125</definedName>
    <definedName name="ESQUADRIAS" localSheetId="1">#REF!</definedName>
    <definedName name="ESQUADRIAS" localSheetId="2">#REF!</definedName>
    <definedName name="ESQUADRIAS">#REF!</definedName>
    <definedName name="ESTABILIDADE" localSheetId="11">[11]Plan1!$A$163:$A$165</definedName>
    <definedName name="ESTABILIDADE" localSheetId="1">#REF!</definedName>
    <definedName name="ESTABILIDADE" localSheetId="2">#REF!</definedName>
    <definedName name="ESTABILIDADE">#REF!</definedName>
    <definedName name="ESTADO_CONSERVACAO" localSheetId="11">[11]Plan1!$A$134:$A$140</definedName>
    <definedName name="ESTADO_CONSERVACAO" localSheetId="1">#REF!</definedName>
    <definedName name="ESTADO_CONSERVACAO" localSheetId="2">#REF!</definedName>
    <definedName name="ESTADO_CONSERVACAO">#REF!</definedName>
    <definedName name="eu" localSheetId="16" hidden="1">{#N/A,#N/A,FALSE,"MO (2)"}</definedName>
    <definedName name="eu" localSheetId="3" hidden="1">{#N/A,#N/A,FALSE,"MO (2)"}</definedName>
    <definedName name="eu" localSheetId="10" hidden="1">{#N/A,#N/A,FALSE,"MO (2)"}</definedName>
    <definedName name="eu" localSheetId="11" hidden="1">{#N/A,#N/A,FALSE,"MO (2)"}</definedName>
    <definedName name="eu" localSheetId="1" hidden="1">{#N/A,#N/A,FALSE,"MO (2)"}</definedName>
    <definedName name="eu" localSheetId="2" hidden="1">{#N/A,#N/A,FALSE,"MO (2)"}</definedName>
    <definedName name="eu" hidden="1">{#N/A,#N/A,FALSE,"MO (2)"}</definedName>
    <definedName name="Excel_BuiltIn__FilterDatabase_1" localSheetId="16">#REF!</definedName>
    <definedName name="Excel_BuiltIn__FilterDatabase_1" localSheetId="10">#REF!</definedName>
    <definedName name="Excel_BuiltIn__FilterDatabase_1" localSheetId="11">#REF!</definedName>
    <definedName name="Excel_BuiltIn__FilterDatabase_1" localSheetId="1">#REF!</definedName>
    <definedName name="Excel_BuiltIn__FilterDatabase_1" localSheetId="2">#REF!</definedName>
    <definedName name="Excel_BuiltIn__FilterDatabase_1">#REF!</definedName>
    <definedName name="Excel_BuiltIn__FilterDatabase_10" localSheetId="16">#REF!</definedName>
    <definedName name="Excel_BuiltIn__FilterDatabase_10" localSheetId="11">#REF!</definedName>
    <definedName name="Excel_BuiltIn__FilterDatabase_10">#REF!</definedName>
    <definedName name="Excel_BuiltIn__FilterDatabase_10_12" localSheetId="16">#REF!</definedName>
    <definedName name="Excel_BuiltIn__FilterDatabase_10_12" localSheetId="11">#REF!</definedName>
    <definedName name="Excel_BuiltIn__FilterDatabase_10_12">#REF!</definedName>
    <definedName name="Excel_BuiltIn__FilterDatabase_11" localSheetId="16">#REF!</definedName>
    <definedName name="Excel_BuiltIn__FilterDatabase_11" localSheetId="11">#REF!</definedName>
    <definedName name="Excel_BuiltIn__FilterDatabase_11">#REF!</definedName>
    <definedName name="Excel_BuiltIn__FilterDatabase_12" localSheetId="16">#REF!</definedName>
    <definedName name="Excel_BuiltIn__FilterDatabase_12" localSheetId="11">#REF!</definedName>
    <definedName name="Excel_BuiltIn__FilterDatabase_12">#REF!</definedName>
    <definedName name="Excel_BuiltIn__FilterDatabase_2" localSheetId="16">#REF!</definedName>
    <definedName name="Excel_BuiltIn__FilterDatabase_2" localSheetId="11">#REF!</definedName>
    <definedName name="Excel_BuiltIn__FilterDatabase_2">#REF!</definedName>
    <definedName name="Excel_BuiltIn__FilterDatabase_3" localSheetId="16">#REF!</definedName>
    <definedName name="Excel_BuiltIn__FilterDatabase_3" localSheetId="11">#REF!</definedName>
    <definedName name="Excel_BuiltIn__FilterDatabase_3">#REF!</definedName>
    <definedName name="Excel_BuiltIn__FilterDatabase_3_1" localSheetId="16">#REF!</definedName>
    <definedName name="Excel_BuiltIn__FilterDatabase_3_1" localSheetId="11">#REF!</definedName>
    <definedName name="Excel_BuiltIn__FilterDatabase_3_1">#REF!</definedName>
    <definedName name="Excel_BuiltIn__FilterDatabase_3_4" localSheetId="16">#REF!</definedName>
    <definedName name="Excel_BuiltIn__FilterDatabase_3_4" localSheetId="11">#REF!</definedName>
    <definedName name="Excel_BuiltIn__FilterDatabase_3_4">#REF!</definedName>
    <definedName name="Excel_BuiltIn__FilterDatabase_4" localSheetId="16">#REF!</definedName>
    <definedName name="Excel_BuiltIn__FilterDatabase_4" localSheetId="11">#REF!</definedName>
    <definedName name="Excel_BuiltIn__FilterDatabase_4">#REF!</definedName>
    <definedName name="Excel_BuiltIn__FilterDatabase_4_1" localSheetId="11">'[16]Orientaçao Terraplenagem'!#REF!</definedName>
    <definedName name="Excel_BuiltIn__FilterDatabase_4_1" localSheetId="12">#REF!</definedName>
    <definedName name="Excel_BuiltIn__FilterDatabase_4_1" localSheetId="14">#REF!</definedName>
    <definedName name="Excel_BuiltIn__FilterDatabase_4_1">#REF!</definedName>
    <definedName name="Excel_BuiltIn__FilterDatabase_4_10" localSheetId="11">'[17]Orientaçao Terraplenagem'!#REF!</definedName>
    <definedName name="Excel_BuiltIn__FilterDatabase_4_10" localSheetId="12">#REF!</definedName>
    <definedName name="Excel_BuiltIn__FilterDatabase_4_10" localSheetId="14">#REF!</definedName>
    <definedName name="Excel_BuiltIn__FilterDatabase_4_10">#REF!</definedName>
    <definedName name="Excel_BuiltIn__FilterDatabase_5" localSheetId="16">#REF!</definedName>
    <definedName name="Excel_BuiltIn__FilterDatabase_5" localSheetId="10">#REF!</definedName>
    <definedName name="Excel_BuiltIn__FilterDatabase_5" localSheetId="11">#REF!</definedName>
    <definedName name="Excel_BuiltIn__FilterDatabase_5" localSheetId="1">#REF!</definedName>
    <definedName name="Excel_BuiltIn__FilterDatabase_5" localSheetId="2">#REF!</definedName>
    <definedName name="Excel_BuiltIn__FilterDatabase_5">#REF!</definedName>
    <definedName name="Excel_BuiltIn__FilterDatabase_6" localSheetId="16">#REF!</definedName>
    <definedName name="Excel_BuiltIn__FilterDatabase_6" localSheetId="11">#REF!</definedName>
    <definedName name="Excel_BuiltIn__FilterDatabase_6">#REF!</definedName>
    <definedName name="Excel_BuiltIn__FilterDatabase_7">"$Terraplenagem.$#REF!$#REF!:$#REF!$#REF!"</definedName>
    <definedName name="Excel_BuiltIn__FilterDatabase_8">"$#REF!.$#REF!$#REF!:$#REF!$#REF!"</definedName>
    <definedName name="Excel_BuiltIn__FilterDatabase_9">"$#REF!.$#REF!$#REF!:$#REF!$#REF!"</definedName>
    <definedName name="Excel_BuiltIn_Database" localSheetId="16">#REF!</definedName>
    <definedName name="Excel_BuiltIn_Database" localSheetId="10">#REF!</definedName>
    <definedName name="Excel_BuiltIn_Database" localSheetId="11">#REF!</definedName>
    <definedName name="Excel_BuiltIn_Database" localSheetId="1">#REF!</definedName>
    <definedName name="Excel_BuiltIn_Database" localSheetId="2">#REF!</definedName>
    <definedName name="Excel_BuiltIn_Database">#REF!</definedName>
    <definedName name="Excel_BuiltIn_Database_1" localSheetId="16">#REF!</definedName>
    <definedName name="Excel_BuiltIn_Database_1" localSheetId="11">#REF!</definedName>
    <definedName name="Excel_BuiltIn_Database_1" localSheetId="1">#REF!</definedName>
    <definedName name="Excel_BuiltIn_Database_1" localSheetId="2">#REF!</definedName>
    <definedName name="Excel_BuiltIn_Database_1">#REF!</definedName>
    <definedName name="Excel_BuiltIn_Database_6" localSheetId="16">#REF!</definedName>
    <definedName name="Excel_BuiltIn_Database_6" localSheetId="11">#REF!</definedName>
    <definedName name="Excel_BuiltIn_Database_6" localSheetId="1">#REF!</definedName>
    <definedName name="Excel_BuiltIn_Database_6" localSheetId="2">#REF!</definedName>
    <definedName name="Excel_BuiltIn_Database_6">#REF!</definedName>
    <definedName name="Excel_BuiltIn_Print_Area">"$#REF!.$A$1:$F$145"</definedName>
    <definedName name="Excel_BuiltIn_Print_Area_1" localSheetId="16">#REF!</definedName>
    <definedName name="Excel_BuiltIn_Print_Area_1" localSheetId="4">#REF!</definedName>
    <definedName name="Excel_BuiltIn_Print_Area_1" localSheetId="11">#REF!</definedName>
    <definedName name="Excel_BuiltIn_Print_Area_1" localSheetId="12">#REF!</definedName>
    <definedName name="Excel_BuiltIn_Print_Area_1">#REF!</definedName>
    <definedName name="Excel_BuiltIn_Print_Area_1_1" localSheetId="16">#REF!</definedName>
    <definedName name="Excel_BuiltIn_Print_Area_1_1" localSheetId="4">#REF!</definedName>
    <definedName name="Excel_BuiltIn_Print_Area_1_1" localSheetId="11">#REF!</definedName>
    <definedName name="Excel_BuiltIn_Print_Area_1_1" localSheetId="12">#REF!</definedName>
    <definedName name="Excel_BuiltIn_Print_Area_1_1">#REF!</definedName>
    <definedName name="Excel_BuiltIn_Print_Area_1_1_1" localSheetId="16">#REF!</definedName>
    <definedName name="Excel_BuiltIn_Print_Area_1_1_1" localSheetId="4">#REF!</definedName>
    <definedName name="Excel_BuiltIn_Print_Area_1_1_1" localSheetId="11">#REF!</definedName>
    <definedName name="Excel_BuiltIn_Print_Area_1_1_1" localSheetId="12">#REF!</definedName>
    <definedName name="Excel_BuiltIn_Print_Area_1_1_1">#REF!</definedName>
    <definedName name="Excel_BuiltIn_Print_Area_10_1" localSheetId="16">#REF!</definedName>
    <definedName name="Excel_BuiltIn_Print_Area_10_1" localSheetId="11">#REF!</definedName>
    <definedName name="Excel_BuiltIn_Print_Area_10_1">#REF!</definedName>
    <definedName name="Excel_BuiltIn_Print_Area_11_1" localSheetId="16">#REF!</definedName>
    <definedName name="Excel_BuiltIn_Print_Area_11_1" localSheetId="11">#REF!</definedName>
    <definedName name="Excel_BuiltIn_Print_Area_11_1">#REF!</definedName>
    <definedName name="Excel_BuiltIn_Print_Area_11_1_1" localSheetId="16">#REF!</definedName>
    <definedName name="Excel_BuiltIn_Print_Area_11_1_1" localSheetId="11">#REF!</definedName>
    <definedName name="Excel_BuiltIn_Print_Area_11_1_1">#REF!</definedName>
    <definedName name="Excel_BuiltIn_Print_Area_11_1_1_1" localSheetId="16">#REF!</definedName>
    <definedName name="Excel_BuiltIn_Print_Area_11_1_1_1" localSheetId="11">#REF!</definedName>
    <definedName name="Excel_BuiltIn_Print_Area_11_1_1_1">#REF!</definedName>
    <definedName name="Excel_BuiltIn_Print_Area_12_1" localSheetId="16">#REF!</definedName>
    <definedName name="Excel_BuiltIn_Print_Area_12_1" localSheetId="11">#REF!</definedName>
    <definedName name="Excel_BuiltIn_Print_Area_12_1">#REF!</definedName>
    <definedName name="Excel_BuiltIn_Print_Area_12_1_1" localSheetId="16">#REF!</definedName>
    <definedName name="Excel_BuiltIn_Print_Area_12_1_1" localSheetId="11">#REF!</definedName>
    <definedName name="Excel_BuiltIn_Print_Area_12_1_1">#REF!</definedName>
    <definedName name="Excel_BuiltIn_Print_Area_13_1" localSheetId="16">#REF!</definedName>
    <definedName name="Excel_BuiltIn_Print_Area_13_1" localSheetId="11">#REF!</definedName>
    <definedName name="Excel_BuiltIn_Print_Area_13_1">#REF!</definedName>
    <definedName name="Excel_BuiltIn_Print_Area_14_1" localSheetId="16">#REF!</definedName>
    <definedName name="Excel_BuiltIn_Print_Area_14_1" localSheetId="11">#REF!</definedName>
    <definedName name="Excel_BuiltIn_Print_Area_14_1">#REF!</definedName>
    <definedName name="Excel_BuiltIn_Print_Area_15" localSheetId="16">#REF!</definedName>
    <definedName name="Excel_BuiltIn_Print_Area_15" localSheetId="11">#REF!</definedName>
    <definedName name="Excel_BuiltIn_Print_Area_15">#REF!</definedName>
    <definedName name="Excel_BuiltIn_Print_Area_16" localSheetId="16">#REF!</definedName>
    <definedName name="Excel_BuiltIn_Print_Area_16" localSheetId="11">#REF!</definedName>
    <definedName name="Excel_BuiltIn_Print_Area_16">#REF!</definedName>
    <definedName name="Excel_BuiltIn_Print_Area_17" localSheetId="16">#REF!</definedName>
    <definedName name="Excel_BuiltIn_Print_Area_17" localSheetId="11">#REF!</definedName>
    <definedName name="Excel_BuiltIn_Print_Area_17">#REF!</definedName>
    <definedName name="Excel_BuiltIn_Print_Area_18" localSheetId="16">#REF!</definedName>
    <definedName name="Excel_BuiltIn_Print_Area_18" localSheetId="11">#REF!</definedName>
    <definedName name="Excel_BuiltIn_Print_Area_18">#REF!</definedName>
    <definedName name="Excel_BuiltIn_Print_Area_19" localSheetId="16">#REF!</definedName>
    <definedName name="Excel_BuiltIn_Print_Area_19" localSheetId="11">#REF!</definedName>
    <definedName name="Excel_BuiltIn_Print_Area_19">#REF!</definedName>
    <definedName name="Excel_BuiltIn_Print_Area_2_1" localSheetId="16">#REF!</definedName>
    <definedName name="Excel_BuiltIn_Print_Area_2_1" localSheetId="11">#REF!</definedName>
    <definedName name="Excel_BuiltIn_Print_Area_2_1">#REF!</definedName>
    <definedName name="Excel_BuiltIn_Print_Area_20" localSheetId="16">#REF!</definedName>
    <definedName name="Excel_BuiltIn_Print_Area_20" localSheetId="11">#REF!</definedName>
    <definedName name="Excel_BuiltIn_Print_Area_20">#REF!</definedName>
    <definedName name="Excel_BuiltIn_Print_Area_20_1" localSheetId="16">#REF!</definedName>
    <definedName name="Excel_BuiltIn_Print_Area_20_1" localSheetId="11">#REF!</definedName>
    <definedName name="Excel_BuiltIn_Print_Area_20_1">#REF!</definedName>
    <definedName name="Excel_BuiltIn_Print_Area_21" localSheetId="16">#REF!</definedName>
    <definedName name="Excel_BuiltIn_Print_Area_21" localSheetId="11">#REF!</definedName>
    <definedName name="Excel_BuiltIn_Print_Area_21">#REF!</definedName>
    <definedName name="Excel_BuiltIn_Print_Area_22" localSheetId="16">#REF!</definedName>
    <definedName name="Excel_BuiltIn_Print_Area_22" localSheetId="11">#REF!</definedName>
    <definedName name="Excel_BuiltIn_Print_Area_22">#REF!</definedName>
    <definedName name="Excel_BuiltIn_Print_Area_23" localSheetId="16">#REF!</definedName>
    <definedName name="Excel_BuiltIn_Print_Area_23" localSheetId="11">#REF!</definedName>
    <definedName name="Excel_BuiltIn_Print_Area_23">#REF!</definedName>
    <definedName name="Excel_BuiltIn_Print_Area_24" localSheetId="16">#REF!</definedName>
    <definedName name="Excel_BuiltIn_Print_Area_24" localSheetId="11">#REF!</definedName>
    <definedName name="Excel_BuiltIn_Print_Area_24">#REF!</definedName>
    <definedName name="Excel_BuiltIn_Print_Area_24_1" localSheetId="16">#REF!</definedName>
    <definedName name="Excel_BuiltIn_Print_Area_24_1" localSheetId="11">#REF!</definedName>
    <definedName name="Excel_BuiltIn_Print_Area_24_1">#REF!</definedName>
    <definedName name="Excel_BuiltIn_Print_Area_25" localSheetId="16">#REF!</definedName>
    <definedName name="Excel_BuiltIn_Print_Area_25" localSheetId="11">#REF!</definedName>
    <definedName name="Excel_BuiltIn_Print_Area_25">#REF!</definedName>
    <definedName name="Excel_BuiltIn_Print_Area_26" localSheetId="16">#REF!</definedName>
    <definedName name="Excel_BuiltIn_Print_Area_26" localSheetId="11">#REF!</definedName>
    <definedName name="Excel_BuiltIn_Print_Area_26">#REF!</definedName>
    <definedName name="Excel_BuiltIn_Print_Area_27" localSheetId="16">#REF!</definedName>
    <definedName name="Excel_BuiltIn_Print_Area_27" localSheetId="11">#REF!</definedName>
    <definedName name="Excel_BuiltIn_Print_Area_27">#REF!</definedName>
    <definedName name="Excel_BuiltIn_Print_Area_28" localSheetId="16">#REF!</definedName>
    <definedName name="Excel_BuiltIn_Print_Area_28" localSheetId="11">#REF!</definedName>
    <definedName name="Excel_BuiltIn_Print_Area_28">#REF!</definedName>
    <definedName name="Excel_BuiltIn_Print_Area_29" localSheetId="16">#REF!</definedName>
    <definedName name="Excel_BuiltIn_Print_Area_29" localSheetId="11">#REF!</definedName>
    <definedName name="Excel_BuiltIn_Print_Area_29">#REF!</definedName>
    <definedName name="Excel_BuiltIn_Print_Area_3" localSheetId="16">#REF!</definedName>
    <definedName name="Excel_BuiltIn_Print_Area_3" localSheetId="11">#REF!</definedName>
    <definedName name="Excel_BuiltIn_Print_Area_3">#REF!</definedName>
    <definedName name="Excel_BuiltIn_Print_Area_3_1" localSheetId="16">#REF!</definedName>
    <definedName name="Excel_BuiltIn_Print_Area_3_1" localSheetId="11">#REF!</definedName>
    <definedName name="Excel_BuiltIn_Print_Area_3_1">#REF!</definedName>
    <definedName name="Excel_BuiltIn_Print_Area_3_1_1" localSheetId="16">#REF!</definedName>
    <definedName name="Excel_BuiltIn_Print_Area_3_1_1" localSheetId="11">#REF!</definedName>
    <definedName name="Excel_BuiltIn_Print_Area_3_1_1">#REF!</definedName>
    <definedName name="Excel_BuiltIn_Print_Area_30" localSheetId="16">#REF!</definedName>
    <definedName name="Excel_BuiltIn_Print_Area_30" localSheetId="11">#REF!</definedName>
    <definedName name="Excel_BuiltIn_Print_Area_30">#REF!</definedName>
    <definedName name="Excel_BuiltIn_Print_Area_31" localSheetId="16">#REF!</definedName>
    <definedName name="Excel_BuiltIn_Print_Area_31" localSheetId="11">#REF!</definedName>
    <definedName name="Excel_BuiltIn_Print_Area_31">#REF!</definedName>
    <definedName name="Excel_BuiltIn_Print_Area_32" localSheetId="16">#REF!</definedName>
    <definedName name="Excel_BuiltIn_Print_Area_32" localSheetId="11">#REF!</definedName>
    <definedName name="Excel_BuiltIn_Print_Area_32">#REF!</definedName>
    <definedName name="Excel_BuiltIn_Print_Area_33" localSheetId="16">#REF!</definedName>
    <definedName name="Excel_BuiltIn_Print_Area_33" localSheetId="11">#REF!</definedName>
    <definedName name="Excel_BuiltIn_Print_Area_33">#REF!</definedName>
    <definedName name="Excel_BuiltIn_Print_Area_34" localSheetId="16">#REF!</definedName>
    <definedName name="Excel_BuiltIn_Print_Area_34" localSheetId="11">#REF!</definedName>
    <definedName name="Excel_BuiltIn_Print_Area_34">#REF!</definedName>
    <definedName name="Excel_BuiltIn_Print_Area_35" localSheetId="16">#REF!</definedName>
    <definedName name="Excel_BuiltIn_Print_Area_35" localSheetId="11">#REF!</definedName>
    <definedName name="Excel_BuiltIn_Print_Area_35">#REF!</definedName>
    <definedName name="Excel_BuiltIn_Print_Area_36" localSheetId="16">#REF!</definedName>
    <definedName name="Excel_BuiltIn_Print_Area_36" localSheetId="11">#REF!</definedName>
    <definedName name="Excel_BuiltIn_Print_Area_36">#REF!</definedName>
    <definedName name="Excel_BuiltIn_Print_Area_37" localSheetId="16">#REF!</definedName>
    <definedName name="Excel_BuiltIn_Print_Area_37" localSheetId="11">#REF!</definedName>
    <definedName name="Excel_BuiltIn_Print_Area_37">#REF!</definedName>
    <definedName name="Excel_BuiltIn_Print_Area_38" localSheetId="16">#REF!</definedName>
    <definedName name="Excel_BuiltIn_Print_Area_38" localSheetId="11">#REF!</definedName>
    <definedName name="Excel_BuiltIn_Print_Area_38">#REF!</definedName>
    <definedName name="Excel_BuiltIn_Print_Area_4" localSheetId="16">#REF!</definedName>
    <definedName name="Excel_BuiltIn_Print_Area_4" localSheetId="11">#REF!</definedName>
    <definedName name="Excel_BuiltIn_Print_Area_4">#REF!</definedName>
    <definedName name="Excel_BuiltIn_Print_Area_4_1" localSheetId="16">#REF!</definedName>
    <definedName name="Excel_BuiltIn_Print_Area_4_1" localSheetId="11">#REF!</definedName>
    <definedName name="Excel_BuiltIn_Print_Area_4_1">#REF!</definedName>
    <definedName name="Excel_BuiltIn_Print_Area_4_1_1">"$#REF!.$A$3:$BN$276"</definedName>
    <definedName name="Excel_BuiltIn_Print_Area_5">"$#REF!.$A$1:$H$302"</definedName>
    <definedName name="Excel_BuiltIn_Print_Area_5_1" localSheetId="16">#REF!</definedName>
    <definedName name="Excel_BuiltIn_Print_Area_5_1" localSheetId="4">#REF!</definedName>
    <definedName name="Excel_BuiltIn_Print_Area_5_1" localSheetId="11">#REF!</definedName>
    <definedName name="Excel_BuiltIn_Print_Area_5_1" localSheetId="12">#REF!</definedName>
    <definedName name="Excel_BuiltIn_Print_Area_5_1">#REF!</definedName>
    <definedName name="Excel_BuiltIn_Print_Area_5_1_1" localSheetId="16">#REF!</definedName>
    <definedName name="Excel_BuiltIn_Print_Area_5_1_1" localSheetId="4">#REF!</definedName>
    <definedName name="Excel_BuiltIn_Print_Area_5_1_1" localSheetId="11">#REF!</definedName>
    <definedName name="Excel_BuiltIn_Print_Area_5_1_1" localSheetId="12">#REF!</definedName>
    <definedName name="Excel_BuiltIn_Print_Area_5_1_1">#REF!</definedName>
    <definedName name="Excel_BuiltIn_Print_Area_5_1_1_1" localSheetId="16">#REF!</definedName>
    <definedName name="Excel_BuiltIn_Print_Area_5_1_1_1" localSheetId="4">#REF!</definedName>
    <definedName name="Excel_BuiltIn_Print_Area_5_1_1_1" localSheetId="11">#REF!</definedName>
    <definedName name="Excel_BuiltIn_Print_Area_5_1_1_1" localSheetId="12">#REF!</definedName>
    <definedName name="Excel_BuiltIn_Print_Area_5_1_1_1">#REF!</definedName>
    <definedName name="Excel_BuiltIn_Print_Area_6">"$#REF!.$A$1:$X$14"</definedName>
    <definedName name="Excel_BuiltIn_Print_Area_6_1" localSheetId="16">#REF!</definedName>
    <definedName name="Excel_BuiltIn_Print_Area_6_1" localSheetId="10">#REF!</definedName>
    <definedName name="Excel_BuiltIn_Print_Area_6_1" localSheetId="11">#REF!</definedName>
    <definedName name="Excel_BuiltIn_Print_Area_6_1">#REF!</definedName>
    <definedName name="Excel_BuiltIn_Print_Area_6_1_1" localSheetId="16">#REF!</definedName>
    <definedName name="Excel_BuiltIn_Print_Area_6_1_1" localSheetId="11">#REF!</definedName>
    <definedName name="Excel_BuiltIn_Print_Area_6_1_1">#REF!</definedName>
    <definedName name="Excel_BuiltIn_Print_Area_7">"$#REF!.$A$1:$G$30"</definedName>
    <definedName name="Excel_BuiltIn_Print_Area_7_1" localSheetId="16">#REF!</definedName>
    <definedName name="Excel_BuiltIn_Print_Area_7_1" localSheetId="10">#REF!</definedName>
    <definedName name="Excel_BuiltIn_Print_Area_7_1" localSheetId="11">#REF!</definedName>
    <definedName name="Excel_BuiltIn_Print_Area_7_1">#REF!</definedName>
    <definedName name="Excel_BuiltIn_Print_Area_7_1_1" localSheetId="16">#REF!</definedName>
    <definedName name="Excel_BuiltIn_Print_Area_7_1_1" localSheetId="11">#REF!</definedName>
    <definedName name="Excel_BuiltIn_Print_Area_7_1_1">#REF!</definedName>
    <definedName name="Excel_BuiltIn_Print_Area_8_1" localSheetId="16">#REF!</definedName>
    <definedName name="Excel_BuiltIn_Print_Area_8_1" localSheetId="11">#REF!</definedName>
    <definedName name="Excel_BuiltIn_Print_Area_8_1">#REF!</definedName>
    <definedName name="Excel_BuiltIn_Print_Area_9_1" localSheetId="16">#REF!</definedName>
    <definedName name="Excel_BuiltIn_Print_Area_9_1" localSheetId="11">#REF!</definedName>
    <definedName name="Excel_BuiltIn_Print_Area_9_1">#REF!</definedName>
    <definedName name="Excel_BuiltIn_Print_Area_9_1_1" localSheetId="16">#REF!</definedName>
    <definedName name="Excel_BuiltIn_Print_Area_9_1_1" localSheetId="11">#REF!</definedName>
    <definedName name="Excel_BuiltIn_Print_Area_9_1_1">#REF!</definedName>
    <definedName name="Excel_BuiltIn_Print_Titles_1" localSheetId="16">#REF!</definedName>
    <definedName name="Excel_BuiltIn_Print_Titles_1" localSheetId="11">#REF!</definedName>
    <definedName name="Excel_BuiltIn_Print_Titles_1">#REF!</definedName>
    <definedName name="Excel_BuiltIn_Print_Titles_1_1" localSheetId="16">#REF!</definedName>
    <definedName name="Excel_BuiltIn_Print_Titles_1_1" localSheetId="11">#REF!</definedName>
    <definedName name="Excel_BuiltIn_Print_Titles_1_1">#REF!</definedName>
    <definedName name="Excel_BuiltIn_Print_Titles_10" localSheetId="16">#REF!</definedName>
    <definedName name="Excel_BuiltIn_Print_Titles_10" localSheetId="11">#REF!</definedName>
    <definedName name="Excel_BuiltIn_Print_Titles_10">#REF!</definedName>
    <definedName name="Excel_BuiltIn_Print_Titles_11" localSheetId="16">#REF!</definedName>
    <definedName name="Excel_BuiltIn_Print_Titles_11" localSheetId="11">#REF!</definedName>
    <definedName name="Excel_BuiltIn_Print_Titles_11">#REF!</definedName>
    <definedName name="Excel_BuiltIn_Print_Titles_12" localSheetId="16">#REF!</definedName>
    <definedName name="Excel_BuiltIn_Print_Titles_12" localSheetId="11">#REF!</definedName>
    <definedName name="Excel_BuiltIn_Print_Titles_12">#REF!</definedName>
    <definedName name="Excel_BuiltIn_Print_Titles_13" localSheetId="16">#REF!</definedName>
    <definedName name="Excel_BuiltIn_Print_Titles_13" localSheetId="11">#REF!</definedName>
    <definedName name="Excel_BuiltIn_Print_Titles_13">#REF!</definedName>
    <definedName name="Excel_BuiltIn_Print_Titles_14" localSheetId="16">#REF!</definedName>
    <definedName name="Excel_BuiltIn_Print_Titles_14" localSheetId="11">#REF!</definedName>
    <definedName name="Excel_BuiltIn_Print_Titles_14">#REF!</definedName>
    <definedName name="Excel_BuiltIn_Print_Titles_15" localSheetId="16">#REF!</definedName>
    <definedName name="Excel_BuiltIn_Print_Titles_15" localSheetId="11">#REF!</definedName>
    <definedName name="Excel_BuiltIn_Print_Titles_15">#REF!</definedName>
    <definedName name="Excel_BuiltIn_Print_Titles_16" localSheetId="16">#REF!</definedName>
    <definedName name="Excel_BuiltIn_Print_Titles_16" localSheetId="11">#REF!</definedName>
    <definedName name="Excel_BuiltIn_Print_Titles_16">#REF!</definedName>
    <definedName name="Excel_BuiltIn_Print_Titles_17" localSheetId="16">#REF!</definedName>
    <definedName name="Excel_BuiltIn_Print_Titles_17" localSheetId="11">#REF!</definedName>
    <definedName name="Excel_BuiltIn_Print_Titles_17">#REF!</definedName>
    <definedName name="Excel_BuiltIn_Print_Titles_18" localSheetId="16">#REF!</definedName>
    <definedName name="Excel_BuiltIn_Print_Titles_18" localSheetId="11">#REF!</definedName>
    <definedName name="Excel_BuiltIn_Print_Titles_18">#REF!</definedName>
    <definedName name="Excel_BuiltIn_Print_Titles_19" localSheetId="16">#REF!</definedName>
    <definedName name="Excel_BuiltIn_Print_Titles_19" localSheetId="11">#REF!</definedName>
    <definedName name="Excel_BuiltIn_Print_Titles_19">#REF!</definedName>
    <definedName name="Excel_BuiltIn_Print_Titles_2" localSheetId="16">(#REF!,#REF!)</definedName>
    <definedName name="Excel_BuiltIn_Print_Titles_2" localSheetId="10">#REF!</definedName>
    <definedName name="Excel_BuiltIn_Print_Titles_2" localSheetId="11">#REF!</definedName>
    <definedName name="Excel_BuiltIn_Print_Titles_2">#REF!</definedName>
    <definedName name="Excel_BuiltIn_Print_Titles_2_1" localSheetId="16">#REF!</definedName>
    <definedName name="Excel_BuiltIn_Print_Titles_2_1" localSheetId="11">#REF!</definedName>
    <definedName name="Excel_BuiltIn_Print_Titles_2_1">#REF!</definedName>
    <definedName name="Excel_BuiltIn_Print_Titles_20" localSheetId="16">#REF!</definedName>
    <definedName name="Excel_BuiltIn_Print_Titles_20" localSheetId="11">#REF!</definedName>
    <definedName name="Excel_BuiltIn_Print_Titles_20">#REF!</definedName>
    <definedName name="Excel_BuiltIn_Print_Titles_21" localSheetId="16">#REF!</definedName>
    <definedName name="Excel_BuiltIn_Print_Titles_21" localSheetId="11">#REF!</definedName>
    <definedName name="Excel_BuiltIn_Print_Titles_21">#REF!</definedName>
    <definedName name="Excel_BuiltIn_Print_Titles_22" localSheetId="16">#REF!</definedName>
    <definedName name="Excel_BuiltIn_Print_Titles_22" localSheetId="11">#REF!</definedName>
    <definedName name="Excel_BuiltIn_Print_Titles_22">#REF!</definedName>
    <definedName name="Excel_BuiltIn_Print_Titles_23" localSheetId="16">#REF!</definedName>
    <definedName name="Excel_BuiltIn_Print_Titles_23" localSheetId="11">#REF!</definedName>
    <definedName name="Excel_BuiltIn_Print_Titles_23">#REF!</definedName>
    <definedName name="Excel_BuiltIn_Print_Titles_24" localSheetId="16">#REF!</definedName>
    <definedName name="Excel_BuiltIn_Print_Titles_24" localSheetId="11">#REF!</definedName>
    <definedName name="Excel_BuiltIn_Print_Titles_24">#REF!</definedName>
    <definedName name="Excel_BuiltIn_Print_Titles_25" localSheetId="16">#REF!</definedName>
    <definedName name="Excel_BuiltIn_Print_Titles_25" localSheetId="11">#REF!</definedName>
    <definedName name="Excel_BuiltIn_Print_Titles_25">#REF!</definedName>
    <definedName name="Excel_BuiltIn_Print_Titles_26" localSheetId="16">#REF!</definedName>
    <definedName name="Excel_BuiltIn_Print_Titles_26" localSheetId="11">#REF!</definedName>
    <definedName name="Excel_BuiltIn_Print_Titles_26">#REF!</definedName>
    <definedName name="Excel_BuiltIn_Print_Titles_27" localSheetId="16">#REF!</definedName>
    <definedName name="Excel_BuiltIn_Print_Titles_27" localSheetId="11">#REF!</definedName>
    <definedName name="Excel_BuiltIn_Print_Titles_27">#REF!</definedName>
    <definedName name="Excel_BuiltIn_Print_Titles_28" localSheetId="16">#REF!</definedName>
    <definedName name="Excel_BuiltIn_Print_Titles_28" localSheetId="11">#REF!</definedName>
    <definedName name="Excel_BuiltIn_Print_Titles_28">#REF!</definedName>
    <definedName name="Excel_BuiltIn_Print_Titles_29" localSheetId="16">#REF!</definedName>
    <definedName name="Excel_BuiltIn_Print_Titles_29" localSheetId="11">#REF!</definedName>
    <definedName name="Excel_BuiltIn_Print_Titles_29">#REF!</definedName>
    <definedName name="Excel_BuiltIn_Print_Titles_3" localSheetId="16">#REF!</definedName>
    <definedName name="Excel_BuiltIn_Print_Titles_3" localSheetId="11">#REF!</definedName>
    <definedName name="Excel_BuiltIn_Print_Titles_3">#REF!</definedName>
    <definedName name="Excel_BuiltIn_Print_Titles_3_1" localSheetId="16">#REF!</definedName>
    <definedName name="Excel_BuiltIn_Print_Titles_3_1" localSheetId="11">#REF!</definedName>
    <definedName name="Excel_BuiltIn_Print_Titles_3_1">#REF!</definedName>
    <definedName name="Excel_BuiltIn_Print_Titles_3_1_1" localSheetId="16">#REF!</definedName>
    <definedName name="Excel_BuiltIn_Print_Titles_3_1_1" localSheetId="11">#REF!</definedName>
    <definedName name="Excel_BuiltIn_Print_Titles_3_1_1">#REF!</definedName>
    <definedName name="Excel_BuiltIn_Print_Titles_30" localSheetId="16">#REF!</definedName>
    <definedName name="Excel_BuiltIn_Print_Titles_30" localSheetId="11">#REF!</definedName>
    <definedName name="Excel_BuiltIn_Print_Titles_30">#REF!</definedName>
    <definedName name="Excel_BuiltIn_Print_Titles_31" localSheetId="16">#REF!</definedName>
    <definedName name="Excel_BuiltIn_Print_Titles_31" localSheetId="11">#REF!</definedName>
    <definedName name="Excel_BuiltIn_Print_Titles_31">#REF!</definedName>
    <definedName name="Excel_BuiltIn_Print_Titles_32" localSheetId="16">#REF!</definedName>
    <definedName name="Excel_BuiltIn_Print_Titles_32" localSheetId="11">#REF!</definedName>
    <definedName name="Excel_BuiltIn_Print_Titles_32">#REF!</definedName>
    <definedName name="Excel_BuiltIn_Print_Titles_33" localSheetId="16">#REF!</definedName>
    <definedName name="Excel_BuiltIn_Print_Titles_33" localSheetId="11">#REF!</definedName>
    <definedName name="Excel_BuiltIn_Print_Titles_33">#REF!</definedName>
    <definedName name="Excel_BuiltIn_Print_Titles_34" localSheetId="16">#REF!</definedName>
    <definedName name="Excel_BuiltIn_Print_Titles_34" localSheetId="11">#REF!</definedName>
    <definedName name="Excel_BuiltIn_Print_Titles_34">#REF!</definedName>
    <definedName name="Excel_BuiltIn_Print_Titles_35" localSheetId="16">#REF!</definedName>
    <definedName name="Excel_BuiltIn_Print_Titles_35" localSheetId="11">#REF!</definedName>
    <definedName name="Excel_BuiltIn_Print_Titles_35">#REF!</definedName>
    <definedName name="Excel_BuiltIn_Print_Titles_36" localSheetId="16">#REF!</definedName>
    <definedName name="Excel_BuiltIn_Print_Titles_36" localSheetId="11">#REF!</definedName>
    <definedName name="Excel_BuiltIn_Print_Titles_36">#REF!</definedName>
    <definedName name="Excel_BuiltIn_Print_Titles_37" localSheetId="16">#REF!</definedName>
    <definedName name="Excel_BuiltIn_Print_Titles_37" localSheetId="11">#REF!</definedName>
    <definedName name="Excel_BuiltIn_Print_Titles_37">#REF!</definedName>
    <definedName name="Excel_BuiltIn_Print_Titles_38" localSheetId="16">#REF!</definedName>
    <definedName name="Excel_BuiltIn_Print_Titles_38" localSheetId="11">#REF!</definedName>
    <definedName name="Excel_BuiltIn_Print_Titles_38">#REF!</definedName>
    <definedName name="Excel_BuiltIn_Print_Titles_4" localSheetId="16">#REF!</definedName>
    <definedName name="Excel_BuiltIn_Print_Titles_4" localSheetId="11">#REF!</definedName>
    <definedName name="Excel_BuiltIn_Print_Titles_4">#REF!</definedName>
    <definedName name="Excel_BuiltIn_Print_Titles_4_1" localSheetId="16">#REF!</definedName>
    <definedName name="Excel_BuiltIn_Print_Titles_4_1" localSheetId="11">#REF!</definedName>
    <definedName name="Excel_BuiltIn_Print_Titles_4_1">#REF!</definedName>
    <definedName name="Excel_BuiltIn_Print_Titles_5">("$#REF!.$A$1:$H$65184~$#REF!.$A$1:$AMJ$14))))))))))))))))))))))")</definedName>
    <definedName name="Excel_BuiltIn_Print_Titles_5_1" localSheetId="16">#REF!</definedName>
    <definedName name="Excel_BuiltIn_Print_Titles_5_1" localSheetId="10">#REF!</definedName>
    <definedName name="Excel_BuiltIn_Print_Titles_5_1" localSheetId="11">#REF!</definedName>
    <definedName name="Excel_BuiltIn_Print_Titles_5_1">#REF!</definedName>
    <definedName name="Excel_BuiltIn_Print_Titles_5_1_1" localSheetId="16">#REF!</definedName>
    <definedName name="Excel_BuiltIn_Print_Titles_5_1_1" localSheetId="11">#REF!</definedName>
    <definedName name="Excel_BuiltIn_Print_Titles_5_1_1">#REF!</definedName>
    <definedName name="Excel_BuiltIn_Print_Titles_6">("$#REF!.$A$1:$X$65206~$#REF!.$A$1:$AMJ$7))))))))))))))))))))))")</definedName>
    <definedName name="Excel_BuiltIn_Print_Titles_6_1" localSheetId="16">#REF!</definedName>
    <definedName name="Excel_BuiltIn_Print_Titles_6_1" localSheetId="10">#REF!</definedName>
    <definedName name="Excel_BuiltIn_Print_Titles_6_1" localSheetId="11">#REF!</definedName>
    <definedName name="Excel_BuiltIn_Print_Titles_6_1">#REF!</definedName>
    <definedName name="Excel_BuiltIn_Print_Titles_7" localSheetId="16">#REF!</definedName>
    <definedName name="Excel_BuiltIn_Print_Titles_7" localSheetId="11">#REF!</definedName>
    <definedName name="Excel_BuiltIn_Print_Titles_7">#REF!</definedName>
    <definedName name="Excel_BuiltIn_Print_Titles_9" localSheetId="16">#REF!</definedName>
    <definedName name="Excel_BuiltIn_Print_Titles_9" localSheetId="11">#REF!</definedName>
    <definedName name="Excel_BuiltIn_Print_Titles_9">#REF!</definedName>
    <definedName name="Excel_BuiltIn_Print_Titles_9_1" localSheetId="16">#REF!</definedName>
    <definedName name="Excel_BuiltIn_Print_Titles_9_1" localSheetId="11">#REF!</definedName>
    <definedName name="Excel_BuiltIn_Print_Titles_9_1">#REF!</definedName>
    <definedName name="Exist" localSheetId="11">#REF!</definedName>
    <definedName name="Exist">#REF!</definedName>
    <definedName name="EXTENSÃO" localSheetId="16">#REF!</definedName>
    <definedName name="EXTENSÃO" localSheetId="11">#REF!</definedName>
    <definedName name="EXTENSÃO">#REF!</definedName>
    <definedName name="EXTENSÃO_1" localSheetId="16">#REF!</definedName>
    <definedName name="EXTENSÃO_1" localSheetId="11">#REF!</definedName>
    <definedName name="EXTENSÃO_1">#REF!</definedName>
    <definedName name="extred100" localSheetId="10">[18]MEMORIAL!#REF!</definedName>
    <definedName name="extred100" localSheetId="11">[18]MEMORIAL!#REF!</definedName>
    <definedName name="extred100" localSheetId="1">#REF!</definedName>
    <definedName name="extred100" localSheetId="2">#REF!</definedName>
    <definedName name="extred100">#REF!</definedName>
    <definedName name="EXTREDE" localSheetId="16">#REF!</definedName>
    <definedName name="EXTREDE" localSheetId="10">#REF!</definedName>
    <definedName name="EXTREDE" localSheetId="11">#REF!</definedName>
    <definedName name="EXTREDE" localSheetId="1">#REF!</definedName>
    <definedName name="EXTREDE" localSheetId="2">#REF!</definedName>
    <definedName name="EXTREDE">#REF!</definedName>
    <definedName name="EXTREDE_1" localSheetId="16">#REF!</definedName>
    <definedName name="EXTREDE_1" localSheetId="11">#REF!</definedName>
    <definedName name="EXTREDE_1">#REF!</definedName>
    <definedName name="F" localSheetId="11" hidden="1">#REF!</definedName>
    <definedName name="F" hidden="1">#REF!</definedName>
    <definedName name="FACILID_ESTACIONAMENTO" localSheetId="11">[11]Plan1!$A$30:$A$33</definedName>
    <definedName name="FACILID_ESTACIONAMENTO" localSheetId="1">#REF!</definedName>
    <definedName name="FACILID_ESTACIONAMENTO" localSheetId="2">#REF!</definedName>
    <definedName name="FACILID_ESTACIONAMENTO">#REF!</definedName>
    <definedName name="FatSabadoOut">#REF!</definedName>
    <definedName name="FatSextaOut">#REF!</definedName>
    <definedName name="fd" localSheetId="16">#REF!</definedName>
    <definedName name="fd" localSheetId="10">#REF!</definedName>
    <definedName name="fd" localSheetId="11">#REF!</definedName>
    <definedName name="fd">#REF!</definedName>
    <definedName name="FDEee" localSheetId="16">#REF!</definedName>
    <definedName name="FDEee" localSheetId="11">#REF!</definedName>
    <definedName name="FDEee">#REF!</definedName>
    <definedName name="FECHAMENTO_PAREDES" localSheetId="11">[11]Plan1!$A$101:$A$105</definedName>
    <definedName name="FECHAMENTO_PAREDES" localSheetId="1">#REF!</definedName>
    <definedName name="FECHAMENTO_PAREDES" localSheetId="2">#REF!</definedName>
    <definedName name="FECHAMENTO_PAREDES">#REF!</definedName>
    <definedName name="ffdf" localSheetId="16">#REF!</definedName>
    <definedName name="ffdf" localSheetId="10">#REF!</definedName>
    <definedName name="ffdf" localSheetId="11">#REF!</definedName>
    <definedName name="ffdf" localSheetId="1">#REF!</definedName>
    <definedName name="ffdf" localSheetId="2">#REF!</definedName>
    <definedName name="ffdf">#REF!</definedName>
    <definedName name="FFFD" localSheetId="16">#REF!</definedName>
    <definedName name="FFFD" localSheetId="11">#REF!</definedName>
    <definedName name="FFFD">#REF!</definedName>
    <definedName name="fffff" localSheetId="10" hidden="1">{"'EI 060 02'!$A$1:$K$59"}</definedName>
    <definedName name="fffff" localSheetId="11" hidden="1">{"'EI 060 02'!$A$1:$K$59"}</definedName>
    <definedName name="fffff" localSheetId="2" hidden="1">{"'EI 060 02'!$A$1:$K$59"}</definedName>
    <definedName name="fffff" hidden="1">{"'EI 060 02'!$A$1:$K$59"}</definedName>
    <definedName name="FGHFG" localSheetId="16">#REF!</definedName>
    <definedName name="FGHFG" localSheetId="11">#REF!</definedName>
    <definedName name="FGHFG">#REF!</definedName>
    <definedName name="FINALIDADE" localSheetId="11">[11]Plan1!$A$8:$A$18</definedName>
    <definedName name="FINALIDADE" localSheetId="1">#REF!</definedName>
    <definedName name="FINALIDADE" localSheetId="2">#REF!</definedName>
    <definedName name="FINALIDADE">#REF!</definedName>
    <definedName name="FOFO" localSheetId="16">#REF!</definedName>
    <definedName name="FOFO" localSheetId="10">#REF!</definedName>
    <definedName name="FOFO" localSheetId="11">#REF!</definedName>
    <definedName name="FOFO" localSheetId="1">#REF!</definedName>
    <definedName name="FOFO" localSheetId="2">#REF!</definedName>
    <definedName name="FOFO">#REF!</definedName>
    <definedName name="FOFO150" localSheetId="16">#REF!</definedName>
    <definedName name="FOFO150" localSheetId="11">#REF!</definedName>
    <definedName name="FOFO150">#REF!</definedName>
    <definedName name="FOFO200" localSheetId="16">#REF!</definedName>
    <definedName name="FOFO200" localSheetId="11">#REF!</definedName>
    <definedName name="FOFO200">#REF!</definedName>
    <definedName name="FOFO50" localSheetId="16">#REF!</definedName>
    <definedName name="FOFO50" localSheetId="11">#REF!</definedName>
    <definedName name="FOFO50">#REF!</definedName>
    <definedName name="FOFO75" localSheetId="16">#REF!</definedName>
    <definedName name="FOFO75" localSheetId="11">#REF!</definedName>
    <definedName name="FOFO75">#REF!</definedName>
    <definedName name="FOFO80" localSheetId="16">#REF!</definedName>
    <definedName name="FOFO80" localSheetId="11">#REF!</definedName>
    <definedName name="FOFO80">#REF!</definedName>
    <definedName name="FORMATO" localSheetId="11">[11]Plan1!$A$46:$A$51</definedName>
    <definedName name="FORMATO" localSheetId="1">#REF!</definedName>
    <definedName name="FORMATO" localSheetId="2">#REF!</definedName>
    <definedName name="FORMATO">#REF!</definedName>
    <definedName name="Formula" localSheetId="16">#REF!</definedName>
    <definedName name="Formula" localSheetId="10">#REF!</definedName>
    <definedName name="Formula" localSheetId="11">#REF!</definedName>
    <definedName name="Formula" localSheetId="1">#REF!</definedName>
    <definedName name="Formula" localSheetId="2">#REF!</definedName>
    <definedName name="Formula">#REF!</definedName>
    <definedName name="Formula_1" localSheetId="16">#REF!</definedName>
    <definedName name="Formula_1" localSheetId="11">#REF!</definedName>
    <definedName name="Formula_1">#REF!</definedName>
    <definedName name="Formula_10" localSheetId="16">#REF!</definedName>
    <definedName name="Formula_10" localSheetId="11">#REF!</definedName>
    <definedName name="Formula_10">#REF!</definedName>
    <definedName name="Formula_2" localSheetId="16">#REF!</definedName>
    <definedName name="Formula_2" localSheetId="11">#REF!</definedName>
    <definedName name="Formula_2">#REF!</definedName>
    <definedName name="Formula_3" localSheetId="16">#REF!</definedName>
    <definedName name="Formula_3" localSheetId="11">#REF!</definedName>
    <definedName name="Formula_3">#REF!</definedName>
    <definedName name="Formula_4" localSheetId="16">#REF!</definedName>
    <definedName name="Formula_4" localSheetId="11">#REF!</definedName>
    <definedName name="Formula_4">#REF!</definedName>
    <definedName name="Formula_5" localSheetId="16">#REF!</definedName>
    <definedName name="Formula_5" localSheetId="11">#REF!</definedName>
    <definedName name="Formula_5">#REF!</definedName>
    <definedName name="Formula_5_1" localSheetId="16">#REF!</definedName>
    <definedName name="Formula_5_1" localSheetId="11">#REF!</definedName>
    <definedName name="Formula_5_1">#REF!</definedName>
    <definedName name="Formula_6" localSheetId="16">#REF!</definedName>
    <definedName name="Formula_6" localSheetId="11">#REF!</definedName>
    <definedName name="Formula_6">#REF!</definedName>
    <definedName name="Fot" localSheetId="10" hidden="1">{"'EI 060 02'!$A$1:$K$59"}</definedName>
    <definedName name="Fot" localSheetId="11" hidden="1">{"'EI 060 02'!$A$1:$K$59"}</definedName>
    <definedName name="Fot" localSheetId="2" hidden="1">{"'EI 060 02'!$A$1:$K$59"}</definedName>
    <definedName name="Fot" hidden="1">{"'EI 060 02'!$A$1:$K$59"}</definedName>
    <definedName name="FRD" localSheetId="16">#REF!</definedName>
    <definedName name="FRD" localSheetId="11">#REF!</definedName>
    <definedName name="FRD">#REF!</definedName>
    <definedName name="frtiop">#REF!</definedName>
    <definedName name="FUNDAMENTACAO_PRECISAO" localSheetId="11">[11]Plan1!$A$206:$A$210</definedName>
    <definedName name="FUNDAMENTACAO_PRECISAO" localSheetId="1">#REF!</definedName>
    <definedName name="FUNDAMENTACAO_PRECISAO" localSheetId="2">#REF!</definedName>
    <definedName name="FUNDAMENTACAO_PRECISAO">#REF!</definedName>
    <definedName name="G" localSheetId="16">#REF!</definedName>
    <definedName name="g" localSheetId="4">#REF!</definedName>
    <definedName name="g" localSheetId="11">#REF!</definedName>
    <definedName name="g" localSheetId="12">#REF!</definedName>
    <definedName name="g">#REF!</definedName>
    <definedName name="GERAL" localSheetId="11">[1]PLANILHA!#REF!</definedName>
    <definedName name="GERAL">#REF!</definedName>
    <definedName name="gfdgh" localSheetId="16">#REF!</definedName>
    <definedName name="gfdgh" localSheetId="4">#REF!</definedName>
    <definedName name="gfdgh" localSheetId="11">#REF!</definedName>
    <definedName name="gfdgh" localSheetId="12">#REF!</definedName>
    <definedName name="gfdgh">#REF!</definedName>
    <definedName name="ggg" localSheetId="16">#REF!</definedName>
    <definedName name="ggg" localSheetId="11">#REF!</definedName>
    <definedName name="ggg">#REF!</definedName>
    <definedName name="ghd" localSheetId="16">#REF!</definedName>
    <definedName name="ghd" localSheetId="4">#REF!</definedName>
    <definedName name="ghd" localSheetId="11">#REF!</definedName>
    <definedName name="ghd">#REF!</definedName>
    <definedName name="gil" localSheetId="16">#REF!</definedName>
    <definedName name="gil" localSheetId="11">#REF!</definedName>
    <definedName name="gil">#REF!</definedName>
    <definedName name="_xlnm.Recorder" localSheetId="11">#REF!</definedName>
    <definedName name="_xlnm.Recorder">#REF!</definedName>
    <definedName name="h">#REF!</definedName>
    <definedName name="HABITABILIDADE" localSheetId="11">[11]Plan1!$A$159:$A$162</definedName>
    <definedName name="HABITABILIDADE" localSheetId="1">#REF!</definedName>
    <definedName name="HABITABILIDADE" localSheetId="2">#REF!</definedName>
    <definedName name="HABITABILIDADE">#REF!</definedName>
    <definedName name="hd" localSheetId="16">#REF!</definedName>
    <definedName name="hd" localSheetId="10">#REF!</definedName>
    <definedName name="hd" localSheetId="11">#REF!</definedName>
    <definedName name="hd">#REF!</definedName>
    <definedName name="hh" localSheetId="16">#REF!</definedName>
    <definedName name="hh" localSheetId="11">#REF!</definedName>
    <definedName name="hh">#REF!</definedName>
    <definedName name="HHHHHHHHHHHHHHHHHHHHHH" localSheetId="16">#REF!</definedName>
    <definedName name="HHHHHHHHHHHHHHHHHHHHHH" localSheetId="11">#REF!</definedName>
    <definedName name="HHHHHHHHHHHHHHHHHHHHHH">#REF!</definedName>
    <definedName name="hnc" localSheetId="16">#REF!</definedName>
    <definedName name="hnc" localSheetId="11">#REF!</definedName>
    <definedName name="hnc">#REF!</definedName>
    <definedName name="HTML_CodePage" hidden="1">1252</definedName>
    <definedName name="HTML_Control" localSheetId="10" hidden="1">{"'EI 060 02'!$A$1:$K$59"}</definedName>
    <definedName name="HTML_Control" localSheetId="11" hidden="1">{"'EI 060 02'!$A$1:$K$59"}</definedName>
    <definedName name="HTML_Control" localSheetId="2" hidden="1">{"'EI 060 02'!$A$1:$K$59"}</definedName>
    <definedName name="HTML_Control" hidden="1">{"'EI 060 02'!$A$1:$K$59"}</definedName>
    <definedName name="HTML_Description" hidden="1">""</definedName>
    <definedName name="HTML_Email" hidden="1">""</definedName>
    <definedName name="HTML_Header" hidden="1">"EI 060 02"</definedName>
    <definedName name="HTML_LastUpdate" hidden="1">"05/05/03"</definedName>
    <definedName name="HTML_LineAfter" hidden="1">FALSE</definedName>
    <definedName name="HTML_LineBefore" hidden="1">FALSE</definedName>
    <definedName name="HTML_Name" hidden="1">"Keyloir"</definedName>
    <definedName name="HTML_OBDlg2" hidden="1">TRUE</definedName>
    <definedName name="HTML_OBDlg4" hidden="1">TRUE</definedName>
    <definedName name="HTML_OS" hidden="1">0</definedName>
    <definedName name="HTML_PathFile" hidden="1">"C:\Meus documentos\EI 060-02.htm"</definedName>
    <definedName name="HTML_Title" hidden="1">"EI 060-02 Relatório"</definedName>
    <definedName name="hush" localSheetId="11">#REF!</definedName>
    <definedName name="hush">#REF!</definedName>
    <definedName name="I" localSheetId="11" hidden="1">[19]Poço!#REF!</definedName>
    <definedName name="I" hidden="1">#REF!</definedName>
    <definedName name="Im" localSheetId="16">#REF!</definedName>
    <definedName name="Im" localSheetId="10">#REF!</definedName>
    <definedName name="Im" localSheetId="11">#REF!</definedName>
    <definedName name="Im">#REF!</definedName>
    <definedName name="impress">"$#REF!.$A$1:$O$42"</definedName>
    <definedName name="IMPRESSÃO" localSheetId="11">#REF!</definedName>
    <definedName name="IMPRESSÃO">#REF!</definedName>
    <definedName name="imprimação" localSheetId="11">#REF!,#REF!</definedName>
    <definedName name="imprimação">#REF!,#REF!</definedName>
    <definedName name="INCLINACAO" localSheetId="11">[11]Plan1!$A$56:$A$59</definedName>
    <definedName name="INCLINACAO" localSheetId="1">#REF!</definedName>
    <definedName name="INCLINACAO" localSheetId="2">#REF!</definedName>
    <definedName name="INCLINACAO">#REF!</definedName>
    <definedName name="ind" localSheetId="16">#REF!</definedName>
    <definedName name="ind" localSheetId="10">#REF!</definedName>
    <definedName name="ind" localSheetId="11">#REF!</definedName>
    <definedName name="ind" localSheetId="1">#REF!</definedName>
    <definedName name="ind" localSheetId="2">#REF!</definedName>
    <definedName name="ind">#REF!</definedName>
    <definedName name="ÍND" localSheetId="16">#REF!</definedName>
    <definedName name="ÍND" localSheetId="11">#REF!</definedName>
    <definedName name="ÍND" localSheetId="1">#REF!</definedName>
    <definedName name="ÍND" localSheetId="2">#REF!</definedName>
    <definedName name="ÍND">#REF!</definedName>
    <definedName name="INDICE" localSheetId="16">#REF!</definedName>
    <definedName name="INDICE" localSheetId="11">#REF!</definedName>
    <definedName name="INDICE">#REF!</definedName>
    <definedName name="INDICE_10">#REF!</definedName>
    <definedName name="INDICE_13">#REF!</definedName>
    <definedName name="INDICE_16" localSheetId="16">#REF!</definedName>
    <definedName name="INDICE_16" localSheetId="4">#REF!</definedName>
    <definedName name="INDICE_16" localSheetId="11">#REF!</definedName>
    <definedName name="INDICE_16" localSheetId="12">#REF!</definedName>
    <definedName name="INDICE_16">#REF!</definedName>
    <definedName name="INDICE_17" localSheetId="16">#REF!</definedName>
    <definedName name="INDICE_17" localSheetId="4">#REF!</definedName>
    <definedName name="INDICE_17" localSheetId="11">#REF!</definedName>
    <definedName name="INDICE_17" localSheetId="12">#REF!</definedName>
    <definedName name="INDICE_17">#REF!</definedName>
    <definedName name="INDICE_2" localSheetId="16">#REF!</definedName>
    <definedName name="INDICE_2" localSheetId="4">#REF!</definedName>
    <definedName name="INDICE_2" localSheetId="11">#REF!</definedName>
    <definedName name="INDICE_2">#REF!</definedName>
    <definedName name="INDICE_5" localSheetId="16">#REF!</definedName>
    <definedName name="INDICE_5" localSheetId="11">#REF!</definedName>
    <definedName name="INDICE_5">#REF!</definedName>
    <definedName name="indice2" localSheetId="16">#REF!</definedName>
    <definedName name="indice2" localSheetId="11">#REF!</definedName>
    <definedName name="indice2">#REF!</definedName>
    <definedName name="InhaltsvezSUMMEN" localSheetId="11">'[5]A.2- RESUMO'!#REF!</definedName>
    <definedName name="InhaltsvezSUMMEN">#REF!</definedName>
    <definedName name="INSS" localSheetId="10">#REF!</definedName>
    <definedName name="INSS" localSheetId="11">#REF!</definedName>
    <definedName name="INSS">#REF!</definedName>
    <definedName name="INSUMOS" localSheetId="11">[20]MAT!$A$3:$E$249</definedName>
    <definedName name="INSUMOS">#REF!</definedName>
    <definedName name="intemizacao" localSheetId="16">#REF!</definedName>
    <definedName name="intemizacao" localSheetId="10">#REF!</definedName>
    <definedName name="intemizacao" localSheetId="11">#REF!</definedName>
    <definedName name="intemizacao">#REF!</definedName>
    <definedName name="Io" localSheetId="16">#REF!</definedName>
    <definedName name="Io" localSheetId="11">#REF!</definedName>
    <definedName name="Io">#REF!</definedName>
    <definedName name="ISS" localSheetId="16">#REF!</definedName>
    <definedName name="ISS" localSheetId="11">#REF!</definedName>
    <definedName name="ISS">#REF!</definedName>
    <definedName name="IT" localSheetId="16">#REF!</definedName>
    <definedName name="IT" localSheetId="11">#REF!</definedName>
    <definedName name="IT">#REF!</definedName>
    <definedName name="Item">"'file://Execucao/lobo 1/Renato Lobo/234 MBR/Planilhas/Vargem Grande.xls'#$'Planilha Original'.$A$2:'file://Execucao/lobo 1/Renato Lobo/234 MBR/Planilhas/Vargem Grande.xls'#$'Planilha Original'.$X$3277"</definedName>
    <definedName name="item1">#REF!</definedName>
    <definedName name="item1.1" localSheetId="16">#REF!</definedName>
    <definedName name="item1.1" localSheetId="10">#REF!</definedName>
    <definedName name="item1.1" localSheetId="11">#REF!</definedName>
    <definedName name="item1.1">#REF!</definedName>
    <definedName name="item1.2" localSheetId="16">#REF!</definedName>
    <definedName name="item1.2" localSheetId="11">#REF!</definedName>
    <definedName name="item1.2">#REF!</definedName>
    <definedName name="item1.3" localSheetId="16">#REF!</definedName>
    <definedName name="item1.3" localSheetId="11">#REF!</definedName>
    <definedName name="item1.3">#REF!</definedName>
    <definedName name="item1.4" localSheetId="16">#REF!</definedName>
    <definedName name="item1.4" localSheetId="11">#REF!</definedName>
    <definedName name="item1.4">#REF!</definedName>
    <definedName name="item1.5" localSheetId="16">#REF!</definedName>
    <definedName name="item1.5" localSheetId="11">#REF!</definedName>
    <definedName name="item1.5">#REF!</definedName>
    <definedName name="item1.6" localSheetId="16">#REF!</definedName>
    <definedName name="item1.6" localSheetId="11">#REF!</definedName>
    <definedName name="item1.6">#REF!</definedName>
    <definedName name="item10.1" localSheetId="16">#REF!</definedName>
    <definedName name="item10.1" localSheetId="11">#REF!</definedName>
    <definedName name="item10.1">#REF!</definedName>
    <definedName name="item10.10" localSheetId="16">#REF!</definedName>
    <definedName name="item10.10" localSheetId="11">#REF!</definedName>
    <definedName name="item10.10">#REF!</definedName>
    <definedName name="item10.11" localSheetId="16">#REF!</definedName>
    <definedName name="item10.11" localSheetId="11">#REF!</definedName>
    <definedName name="item10.11">#REF!</definedName>
    <definedName name="item10.12" localSheetId="16">#REF!</definedName>
    <definedName name="item10.12" localSheetId="11">#REF!</definedName>
    <definedName name="item10.12">#REF!</definedName>
    <definedName name="item10.13" localSheetId="16">#REF!</definedName>
    <definedName name="item10.13" localSheetId="11">#REF!</definedName>
    <definedName name="item10.13">#REF!</definedName>
    <definedName name="item10.14" localSheetId="16">#REF!</definedName>
    <definedName name="item10.14" localSheetId="11">#REF!</definedName>
    <definedName name="item10.14">#REF!</definedName>
    <definedName name="item10.15" localSheetId="16">#REF!</definedName>
    <definedName name="item10.15" localSheetId="11">#REF!</definedName>
    <definedName name="item10.15">#REF!</definedName>
    <definedName name="item10.16" localSheetId="16">#REF!</definedName>
    <definedName name="item10.16" localSheetId="11">#REF!</definedName>
    <definedName name="item10.16">#REF!</definedName>
    <definedName name="item10.17" localSheetId="16">#REF!</definedName>
    <definedName name="item10.17" localSheetId="11">#REF!</definedName>
    <definedName name="item10.17">#REF!</definedName>
    <definedName name="item10.18" localSheetId="16">#REF!</definedName>
    <definedName name="item10.18" localSheetId="11">#REF!</definedName>
    <definedName name="item10.18">#REF!</definedName>
    <definedName name="item10.19" localSheetId="16">#REF!</definedName>
    <definedName name="item10.19" localSheetId="11">#REF!</definedName>
    <definedName name="item10.19">#REF!</definedName>
    <definedName name="item10.2" localSheetId="16">#REF!</definedName>
    <definedName name="item10.2" localSheetId="11">#REF!</definedName>
    <definedName name="item10.2">#REF!</definedName>
    <definedName name="item10.3" localSheetId="16">#REF!</definedName>
    <definedName name="item10.3" localSheetId="11">#REF!</definedName>
    <definedName name="item10.3">#REF!</definedName>
    <definedName name="item10.4" localSheetId="16">#REF!</definedName>
    <definedName name="item10.4" localSheetId="11">#REF!</definedName>
    <definedName name="item10.4">#REF!</definedName>
    <definedName name="item10.5" localSheetId="16">#REF!</definedName>
    <definedName name="item10.5" localSheetId="11">#REF!</definedName>
    <definedName name="item10.5">#REF!</definedName>
    <definedName name="item10.6" localSheetId="16">#REF!</definedName>
    <definedName name="item10.6" localSheetId="11">#REF!</definedName>
    <definedName name="item10.6">#REF!</definedName>
    <definedName name="item10.7" localSheetId="16">#REF!</definedName>
    <definedName name="item10.7" localSheetId="11">#REF!</definedName>
    <definedName name="item10.7">#REF!</definedName>
    <definedName name="item10.8" localSheetId="16">#REF!</definedName>
    <definedName name="item10.8" localSheetId="11">#REF!</definedName>
    <definedName name="item10.8">#REF!</definedName>
    <definedName name="item10.9" localSheetId="16">#REF!</definedName>
    <definedName name="item10.9" localSheetId="11">#REF!</definedName>
    <definedName name="item10.9">#REF!</definedName>
    <definedName name="item11.1" localSheetId="16">#REF!</definedName>
    <definedName name="item11.1" localSheetId="11">#REF!</definedName>
    <definedName name="item11.1">#REF!</definedName>
    <definedName name="item11.10" localSheetId="16">#REF!</definedName>
    <definedName name="item11.10" localSheetId="11">#REF!</definedName>
    <definedName name="item11.10">#REF!</definedName>
    <definedName name="item11.11" localSheetId="16">#REF!</definedName>
    <definedName name="item11.11" localSheetId="11">#REF!</definedName>
    <definedName name="item11.11">#REF!</definedName>
    <definedName name="item11.12" localSheetId="16">#REF!</definedName>
    <definedName name="item11.12" localSheetId="11">#REF!</definedName>
    <definedName name="item11.12">#REF!</definedName>
    <definedName name="item11.13" localSheetId="16">#REF!</definedName>
    <definedName name="item11.13" localSheetId="11">#REF!</definedName>
    <definedName name="item11.13">#REF!</definedName>
    <definedName name="item11.14" localSheetId="16">#REF!</definedName>
    <definedName name="item11.14" localSheetId="11">#REF!</definedName>
    <definedName name="item11.14">#REF!</definedName>
    <definedName name="item11.15" localSheetId="16">#REF!</definedName>
    <definedName name="item11.15" localSheetId="11">#REF!</definedName>
    <definedName name="item11.15">#REF!</definedName>
    <definedName name="item11.16" localSheetId="16">#REF!</definedName>
    <definedName name="item11.16" localSheetId="11">#REF!</definedName>
    <definedName name="item11.16">#REF!</definedName>
    <definedName name="item11.17" localSheetId="16">#REF!</definedName>
    <definedName name="item11.17" localSheetId="11">#REF!</definedName>
    <definedName name="item11.17">#REF!</definedName>
    <definedName name="item11.18" localSheetId="16">#REF!</definedName>
    <definedName name="item11.18" localSheetId="11">#REF!</definedName>
    <definedName name="item11.18">#REF!</definedName>
    <definedName name="item11.19" localSheetId="16">#REF!</definedName>
    <definedName name="item11.19" localSheetId="11">#REF!</definedName>
    <definedName name="item11.19">#REF!</definedName>
    <definedName name="item11.2" localSheetId="16">#REF!</definedName>
    <definedName name="item11.2" localSheetId="11">#REF!</definedName>
    <definedName name="item11.2">#REF!</definedName>
    <definedName name="item11.20" localSheetId="16">#REF!</definedName>
    <definedName name="item11.20" localSheetId="11">#REF!</definedName>
    <definedName name="item11.20">#REF!</definedName>
    <definedName name="item11.21" localSheetId="16">#REF!</definedName>
    <definedName name="item11.21" localSheetId="11">#REF!</definedName>
    <definedName name="item11.21">#REF!</definedName>
    <definedName name="item11.22" localSheetId="16">#REF!</definedName>
    <definedName name="item11.22" localSheetId="11">#REF!</definedName>
    <definedName name="item11.22">#REF!</definedName>
    <definedName name="item11.23" localSheetId="16">#REF!</definedName>
    <definedName name="item11.23" localSheetId="11">#REF!</definedName>
    <definedName name="item11.23">#REF!</definedName>
    <definedName name="item11.24" localSheetId="16">#REF!</definedName>
    <definedName name="item11.24" localSheetId="11">#REF!</definedName>
    <definedName name="item11.24">#REF!</definedName>
    <definedName name="item11.25" localSheetId="16">#REF!</definedName>
    <definedName name="item11.25" localSheetId="11">#REF!</definedName>
    <definedName name="item11.25">#REF!</definedName>
    <definedName name="item11.26" localSheetId="16">#REF!</definedName>
    <definedName name="item11.26" localSheetId="11">#REF!</definedName>
    <definedName name="item11.26">#REF!</definedName>
    <definedName name="item11.27" localSheetId="16">#REF!</definedName>
    <definedName name="item11.27" localSheetId="11">#REF!</definedName>
    <definedName name="item11.27">#REF!</definedName>
    <definedName name="item11.28" localSheetId="16">#REF!</definedName>
    <definedName name="item11.28" localSheetId="11">#REF!</definedName>
    <definedName name="item11.28">#REF!</definedName>
    <definedName name="item11.3" localSheetId="16">#REF!</definedName>
    <definedName name="item11.3" localSheetId="11">#REF!</definedName>
    <definedName name="item11.3">#REF!</definedName>
    <definedName name="item11.4" localSheetId="16">#REF!</definedName>
    <definedName name="item11.4" localSheetId="11">#REF!</definedName>
    <definedName name="item11.4">#REF!</definedName>
    <definedName name="item11.5" localSheetId="16">#REF!</definedName>
    <definedName name="item11.5" localSheetId="11">#REF!</definedName>
    <definedName name="item11.5">#REF!</definedName>
    <definedName name="item11.6" localSheetId="16">#REF!</definedName>
    <definedName name="item11.6" localSheetId="11">#REF!</definedName>
    <definedName name="item11.6">#REF!</definedName>
    <definedName name="item11.7" localSheetId="16">#REF!</definedName>
    <definedName name="item11.7" localSheetId="11">#REF!</definedName>
    <definedName name="item11.7">#REF!</definedName>
    <definedName name="item11.8" localSheetId="16">#REF!</definedName>
    <definedName name="item11.8" localSheetId="11">#REF!</definedName>
    <definedName name="item11.8">#REF!</definedName>
    <definedName name="item11.9" localSheetId="16">#REF!</definedName>
    <definedName name="item11.9" localSheetId="11">#REF!</definedName>
    <definedName name="item11.9">#REF!</definedName>
    <definedName name="item12.0" localSheetId="16">#REF!</definedName>
    <definedName name="item12.0" localSheetId="11">#REF!</definedName>
    <definedName name="item12.0">#REF!</definedName>
    <definedName name="item12.1" localSheetId="16">#REF!</definedName>
    <definedName name="item12.1" localSheetId="11">#REF!</definedName>
    <definedName name="item12.1">#REF!</definedName>
    <definedName name="item12.10" localSheetId="16">#REF!</definedName>
    <definedName name="item12.10" localSheetId="11">#REF!</definedName>
    <definedName name="item12.10">#REF!</definedName>
    <definedName name="item12.11" localSheetId="16">#REF!</definedName>
    <definedName name="item12.11" localSheetId="11">#REF!</definedName>
    <definedName name="item12.11">#REF!</definedName>
    <definedName name="item12.12" localSheetId="16">#REF!</definedName>
    <definedName name="item12.12" localSheetId="11">#REF!</definedName>
    <definedName name="item12.12">#REF!</definedName>
    <definedName name="item12.13" localSheetId="16">#REF!</definedName>
    <definedName name="item12.13" localSheetId="11">#REF!</definedName>
    <definedName name="item12.13">#REF!</definedName>
    <definedName name="item12.14" localSheetId="16">#REF!</definedName>
    <definedName name="item12.14" localSheetId="11">#REF!</definedName>
    <definedName name="item12.14">#REF!</definedName>
    <definedName name="item12.15" localSheetId="16">#REF!</definedName>
    <definedName name="item12.15" localSheetId="11">#REF!</definedName>
    <definedName name="item12.15">#REF!</definedName>
    <definedName name="item12.16" localSheetId="16">#REF!</definedName>
    <definedName name="item12.16" localSheetId="11">#REF!</definedName>
    <definedName name="item12.16">#REF!</definedName>
    <definedName name="item12.17" localSheetId="16">#REF!</definedName>
    <definedName name="item12.17" localSheetId="11">#REF!</definedName>
    <definedName name="item12.17">#REF!</definedName>
    <definedName name="item12.18" localSheetId="16">#REF!</definedName>
    <definedName name="item12.18" localSheetId="11">#REF!</definedName>
    <definedName name="item12.18">#REF!</definedName>
    <definedName name="item12.19" localSheetId="16">#REF!</definedName>
    <definedName name="item12.19" localSheetId="11">#REF!</definedName>
    <definedName name="item12.19">#REF!</definedName>
    <definedName name="item12.2" localSheetId="16">#REF!</definedName>
    <definedName name="item12.2" localSheetId="11">#REF!</definedName>
    <definedName name="item12.2">#REF!</definedName>
    <definedName name="item12.20" localSheetId="16">#REF!</definedName>
    <definedName name="item12.20" localSheetId="11">#REF!</definedName>
    <definedName name="item12.20">#REF!</definedName>
    <definedName name="item12.21" localSheetId="16">#REF!</definedName>
    <definedName name="item12.21" localSheetId="11">#REF!</definedName>
    <definedName name="item12.21">#REF!</definedName>
    <definedName name="item12.22" localSheetId="16">#REF!</definedName>
    <definedName name="item12.22" localSheetId="11">#REF!</definedName>
    <definedName name="item12.22">#REF!</definedName>
    <definedName name="item12.23" localSheetId="16">#REF!</definedName>
    <definedName name="item12.23" localSheetId="11">#REF!</definedName>
    <definedName name="item12.23">#REF!</definedName>
    <definedName name="item12.24" localSheetId="16">#REF!</definedName>
    <definedName name="item12.24" localSheetId="11">#REF!</definedName>
    <definedName name="item12.24">#REF!</definedName>
    <definedName name="item12.25" localSheetId="16">#REF!</definedName>
    <definedName name="item12.25" localSheetId="11">#REF!</definedName>
    <definedName name="item12.25">#REF!</definedName>
    <definedName name="item12.26" localSheetId="16">#REF!</definedName>
    <definedName name="item12.26" localSheetId="11">#REF!</definedName>
    <definedName name="item12.26">#REF!</definedName>
    <definedName name="item12.27" localSheetId="16">#REF!</definedName>
    <definedName name="item12.27" localSheetId="11">#REF!</definedName>
    <definedName name="item12.27">#REF!</definedName>
    <definedName name="item12.3" localSheetId="16">#REF!</definedName>
    <definedName name="item12.3" localSheetId="11">#REF!</definedName>
    <definedName name="item12.3">#REF!</definedName>
    <definedName name="item12.4" localSheetId="16">#REF!</definedName>
    <definedName name="item12.4" localSheetId="11">#REF!</definedName>
    <definedName name="item12.4">#REF!</definedName>
    <definedName name="item12.5" localSheetId="16">#REF!</definedName>
    <definedName name="item12.5" localSheetId="11">#REF!</definedName>
    <definedName name="item12.5">#REF!</definedName>
    <definedName name="item12.6" localSheetId="16">#REF!</definedName>
    <definedName name="item12.6" localSheetId="11">#REF!</definedName>
    <definedName name="item12.6">#REF!</definedName>
    <definedName name="item12.7" localSheetId="16">#REF!</definedName>
    <definedName name="item12.7" localSheetId="11">#REF!</definedName>
    <definedName name="item12.7">#REF!</definedName>
    <definedName name="item12.8" localSheetId="16">#REF!</definedName>
    <definedName name="item12.8" localSheetId="11">#REF!</definedName>
    <definedName name="item12.8">#REF!</definedName>
    <definedName name="item12.9" localSheetId="16">#REF!</definedName>
    <definedName name="item12.9" localSheetId="11">#REF!</definedName>
    <definedName name="item12.9">#REF!</definedName>
    <definedName name="item13.1" localSheetId="16">#REF!</definedName>
    <definedName name="item13.1" localSheetId="11">#REF!</definedName>
    <definedName name="item13.1">#REF!</definedName>
    <definedName name="item13.10" localSheetId="16">#REF!</definedName>
    <definedName name="item13.10" localSheetId="11">#REF!</definedName>
    <definedName name="item13.10">#REF!</definedName>
    <definedName name="item13.11" localSheetId="16">#REF!</definedName>
    <definedName name="item13.11" localSheetId="11">#REF!</definedName>
    <definedName name="item13.11">#REF!</definedName>
    <definedName name="item13.12" localSheetId="16">#REF!</definedName>
    <definedName name="item13.12" localSheetId="11">#REF!</definedName>
    <definedName name="item13.12">#REF!</definedName>
    <definedName name="item13.13" localSheetId="16">#REF!</definedName>
    <definedName name="item13.13" localSheetId="11">#REF!</definedName>
    <definedName name="item13.13">#REF!</definedName>
    <definedName name="item13.2" localSheetId="16">#REF!</definedName>
    <definedName name="item13.2" localSheetId="11">#REF!</definedName>
    <definedName name="item13.2">#REF!</definedName>
    <definedName name="item13.3" localSheetId="16">#REF!</definedName>
    <definedName name="item13.3" localSheetId="11">#REF!</definedName>
    <definedName name="item13.3">#REF!</definedName>
    <definedName name="item13.4" localSheetId="16">#REF!</definedName>
    <definedName name="item13.4" localSheetId="11">#REF!</definedName>
    <definedName name="item13.4">#REF!</definedName>
    <definedName name="item13.5" localSheetId="16">#REF!</definedName>
    <definedName name="item13.5" localSheetId="11">#REF!</definedName>
    <definedName name="item13.5">#REF!</definedName>
    <definedName name="item13.6" localSheetId="16">#REF!</definedName>
    <definedName name="item13.6" localSheetId="11">#REF!</definedName>
    <definedName name="item13.6">#REF!</definedName>
    <definedName name="item13.7" localSheetId="16">#REF!</definedName>
    <definedName name="item13.7" localSheetId="11">#REF!</definedName>
    <definedName name="item13.7">#REF!</definedName>
    <definedName name="item13.8" localSheetId="16">#REF!</definedName>
    <definedName name="item13.8" localSheetId="11">#REF!</definedName>
    <definedName name="item13.8">#REF!</definedName>
    <definedName name="item13.9" localSheetId="16">#REF!</definedName>
    <definedName name="item13.9" localSheetId="11">#REF!</definedName>
    <definedName name="item13.9">#REF!</definedName>
    <definedName name="item14.1" localSheetId="16">#REF!</definedName>
    <definedName name="item14.1" localSheetId="11">#REF!</definedName>
    <definedName name="item14.1">#REF!</definedName>
    <definedName name="item14.2" localSheetId="16">#REF!</definedName>
    <definedName name="item14.2" localSheetId="11">#REF!</definedName>
    <definedName name="item14.2">#REF!</definedName>
    <definedName name="item14.3" localSheetId="16">#REF!</definedName>
    <definedName name="item14.3" localSheetId="11">#REF!</definedName>
    <definedName name="item14.3">#REF!</definedName>
    <definedName name="item14.4" localSheetId="16">#REF!</definedName>
    <definedName name="item14.4" localSheetId="11">#REF!</definedName>
    <definedName name="item14.4">#REF!</definedName>
    <definedName name="item14.5" localSheetId="16">#REF!</definedName>
    <definedName name="item14.5" localSheetId="11">#REF!</definedName>
    <definedName name="item14.5">#REF!</definedName>
    <definedName name="item14.6" localSheetId="16">#REF!</definedName>
    <definedName name="item14.6" localSheetId="11">#REF!</definedName>
    <definedName name="item14.6">#REF!</definedName>
    <definedName name="item15.1" localSheetId="16">#REF!</definedName>
    <definedName name="item15.1" localSheetId="11">#REF!</definedName>
    <definedName name="item15.1">#REF!</definedName>
    <definedName name="item15.10" localSheetId="16">#REF!</definedName>
    <definedName name="item15.10" localSheetId="11">#REF!</definedName>
    <definedName name="item15.10">#REF!</definedName>
    <definedName name="item15.11" localSheetId="16">#REF!</definedName>
    <definedName name="item15.11" localSheetId="11">#REF!</definedName>
    <definedName name="item15.11">#REF!</definedName>
    <definedName name="item15.12" localSheetId="16">#REF!</definedName>
    <definedName name="item15.12" localSheetId="11">#REF!</definedName>
    <definedName name="item15.12">#REF!</definedName>
    <definedName name="item15.13" localSheetId="16">#REF!</definedName>
    <definedName name="item15.13" localSheetId="11">#REF!</definedName>
    <definedName name="item15.13">#REF!</definedName>
    <definedName name="item15.2" localSheetId="16">#REF!</definedName>
    <definedName name="item15.2" localSheetId="11">#REF!</definedName>
    <definedName name="item15.2">#REF!</definedName>
    <definedName name="item15.3" localSheetId="16">#REF!</definedName>
    <definedName name="item15.3" localSheetId="11">#REF!</definedName>
    <definedName name="item15.3">#REF!</definedName>
    <definedName name="item15.4" localSheetId="16">#REF!</definedName>
    <definedName name="item15.4" localSheetId="11">#REF!</definedName>
    <definedName name="item15.4">#REF!</definedName>
    <definedName name="item15.5" localSheetId="16">#REF!</definedName>
    <definedName name="item15.5" localSheetId="11">#REF!</definedName>
    <definedName name="item15.5">#REF!</definedName>
    <definedName name="item15.6" localSheetId="16">#REF!</definedName>
    <definedName name="item15.6" localSheetId="11">#REF!</definedName>
    <definedName name="item15.6">#REF!</definedName>
    <definedName name="item15.7" localSheetId="16">#REF!</definedName>
    <definedName name="item15.7" localSheetId="11">#REF!</definedName>
    <definedName name="item15.7">#REF!</definedName>
    <definedName name="item15.8" localSheetId="16">#REF!</definedName>
    <definedName name="item15.8" localSheetId="11">#REF!</definedName>
    <definedName name="item15.8">#REF!</definedName>
    <definedName name="item15.9" localSheetId="16">#REF!</definedName>
    <definedName name="item15.9" localSheetId="11">#REF!</definedName>
    <definedName name="item15.9">#REF!</definedName>
    <definedName name="item2.1" localSheetId="16">#REF!</definedName>
    <definedName name="item2.1" localSheetId="11">#REF!</definedName>
    <definedName name="item2.1">#REF!</definedName>
    <definedName name="item2.10" localSheetId="16">#REF!</definedName>
    <definedName name="item2.10" localSheetId="11">#REF!</definedName>
    <definedName name="item2.10">#REF!</definedName>
    <definedName name="item2.11" localSheetId="16">#REF!</definedName>
    <definedName name="item2.11" localSheetId="11">#REF!</definedName>
    <definedName name="item2.11">#REF!</definedName>
    <definedName name="item2.12" localSheetId="16">#REF!</definedName>
    <definedName name="item2.12" localSheetId="11">#REF!</definedName>
    <definedName name="item2.12">#REF!</definedName>
    <definedName name="item2.13" localSheetId="16">#REF!</definedName>
    <definedName name="item2.13" localSheetId="11">#REF!</definedName>
    <definedName name="item2.13">#REF!</definedName>
    <definedName name="item2.14" localSheetId="16">#REF!</definedName>
    <definedName name="item2.14" localSheetId="11">#REF!</definedName>
    <definedName name="item2.14">#REF!</definedName>
    <definedName name="item2.15" localSheetId="16">#REF!</definedName>
    <definedName name="item2.15" localSheetId="11">#REF!</definedName>
    <definedName name="item2.15">#REF!</definedName>
    <definedName name="item2.16" localSheetId="16">#REF!</definedName>
    <definedName name="item2.16" localSheetId="11">#REF!</definedName>
    <definedName name="item2.16">#REF!</definedName>
    <definedName name="item2.17" localSheetId="16">#REF!</definedName>
    <definedName name="item2.17" localSheetId="11">#REF!</definedName>
    <definedName name="item2.17">#REF!</definedName>
    <definedName name="item2.18" localSheetId="16">#REF!</definedName>
    <definedName name="item2.18" localSheetId="11">#REF!</definedName>
    <definedName name="item2.18">#REF!</definedName>
    <definedName name="item2.19" localSheetId="16">#REF!</definedName>
    <definedName name="item2.19" localSheetId="11">#REF!</definedName>
    <definedName name="item2.19">#REF!</definedName>
    <definedName name="item2.2" localSheetId="16">#REF!</definedName>
    <definedName name="item2.2" localSheetId="11">#REF!</definedName>
    <definedName name="item2.2">#REF!</definedName>
    <definedName name="item2.20" localSheetId="16">#REF!</definedName>
    <definedName name="item2.20" localSheetId="11">#REF!</definedName>
    <definedName name="item2.20">#REF!</definedName>
    <definedName name="item2.21" localSheetId="16">#REF!</definedName>
    <definedName name="item2.21" localSheetId="11">#REF!</definedName>
    <definedName name="item2.21">#REF!</definedName>
    <definedName name="item2.22" localSheetId="16">#REF!</definedName>
    <definedName name="item2.22" localSheetId="11">#REF!</definedName>
    <definedName name="item2.22">#REF!</definedName>
    <definedName name="item2.23" localSheetId="16">#REF!</definedName>
    <definedName name="item2.23" localSheetId="11">#REF!</definedName>
    <definedName name="item2.23">#REF!</definedName>
    <definedName name="item2.24" localSheetId="16">#REF!</definedName>
    <definedName name="item2.24" localSheetId="11">#REF!</definedName>
    <definedName name="item2.24">#REF!</definedName>
    <definedName name="item2.25" localSheetId="16">#REF!</definedName>
    <definedName name="item2.25" localSheetId="11">#REF!</definedName>
    <definedName name="item2.25">#REF!</definedName>
    <definedName name="item2.26" localSheetId="16">#REF!</definedName>
    <definedName name="item2.26" localSheetId="11">#REF!</definedName>
    <definedName name="item2.26">#REF!</definedName>
    <definedName name="item2.27" localSheetId="16">#REF!</definedName>
    <definedName name="item2.27" localSheetId="11">#REF!</definedName>
    <definedName name="item2.27">#REF!</definedName>
    <definedName name="item2.3" localSheetId="16">#REF!</definedName>
    <definedName name="item2.3" localSheetId="11">#REF!</definedName>
    <definedName name="item2.3">#REF!</definedName>
    <definedName name="item2.4" localSheetId="16">#REF!</definedName>
    <definedName name="item2.4" localSheetId="11">#REF!</definedName>
    <definedName name="item2.4">#REF!</definedName>
    <definedName name="item2.5" localSheetId="16">#REF!</definedName>
    <definedName name="item2.5" localSheetId="11">#REF!</definedName>
    <definedName name="item2.5">#REF!</definedName>
    <definedName name="item2.6" localSheetId="16">#REF!</definedName>
    <definedName name="item2.6" localSheetId="11">#REF!</definedName>
    <definedName name="item2.6">#REF!</definedName>
    <definedName name="item2.7" localSheetId="16">#REF!</definedName>
    <definedName name="item2.7" localSheetId="11">#REF!</definedName>
    <definedName name="item2.7">#REF!</definedName>
    <definedName name="item2.8" localSheetId="16">#REF!</definedName>
    <definedName name="item2.8" localSheetId="11">#REF!</definedName>
    <definedName name="item2.8">#REF!</definedName>
    <definedName name="item2.9" localSheetId="16">#REF!</definedName>
    <definedName name="item2.9" localSheetId="11">#REF!</definedName>
    <definedName name="item2.9">#REF!</definedName>
    <definedName name="item3.1" localSheetId="16">#REF!</definedName>
    <definedName name="item3.1" localSheetId="11">#REF!</definedName>
    <definedName name="item3.1">#REF!</definedName>
    <definedName name="item3.2" localSheetId="16">#REF!</definedName>
    <definedName name="item3.2" localSheetId="11">#REF!</definedName>
    <definedName name="item3.2">#REF!</definedName>
    <definedName name="item3.3" localSheetId="16">#REF!</definedName>
    <definedName name="item3.3" localSheetId="11">#REF!</definedName>
    <definedName name="item3.3">#REF!</definedName>
    <definedName name="item4.1" localSheetId="16">#REF!</definedName>
    <definedName name="item4.1" localSheetId="11">#REF!</definedName>
    <definedName name="item4.1">#REF!</definedName>
    <definedName name="item4.2" localSheetId="16">#REF!</definedName>
    <definedName name="item4.2" localSheetId="11">#REF!</definedName>
    <definedName name="item4.2">#REF!</definedName>
    <definedName name="item4.3" localSheetId="16">#REF!</definedName>
    <definedName name="item4.3" localSheetId="11">#REF!</definedName>
    <definedName name="item4.3">#REF!</definedName>
    <definedName name="item4.4" localSheetId="16">#REF!</definedName>
    <definedName name="item4.4" localSheetId="11">#REF!</definedName>
    <definedName name="item4.4">#REF!</definedName>
    <definedName name="item4.5" localSheetId="16">#REF!</definedName>
    <definedName name="item4.5" localSheetId="11">#REF!</definedName>
    <definedName name="item4.5">#REF!</definedName>
    <definedName name="item4.6" localSheetId="16">#REF!</definedName>
    <definedName name="item4.6" localSheetId="11">#REF!</definedName>
    <definedName name="item4.6">#REF!</definedName>
    <definedName name="item4.7" localSheetId="16">#REF!</definedName>
    <definedName name="item4.7" localSheetId="11">#REF!</definedName>
    <definedName name="item4.7">#REF!</definedName>
    <definedName name="item5.1" localSheetId="16">#REF!</definedName>
    <definedName name="item5.1" localSheetId="11">#REF!</definedName>
    <definedName name="item5.1">#REF!</definedName>
    <definedName name="item5.2" localSheetId="16">#REF!</definedName>
    <definedName name="item5.2" localSheetId="11">#REF!</definedName>
    <definedName name="item5.2">#REF!</definedName>
    <definedName name="item5.3" localSheetId="16">#REF!</definedName>
    <definedName name="item5.3" localSheetId="11">#REF!</definedName>
    <definedName name="item5.3">#REF!</definedName>
    <definedName name="item5.4" localSheetId="16">#REF!</definedName>
    <definedName name="item5.4" localSheetId="11">#REF!</definedName>
    <definedName name="item5.4">#REF!</definedName>
    <definedName name="item5.5" localSheetId="16">#REF!</definedName>
    <definedName name="item5.5" localSheetId="11">#REF!</definedName>
    <definedName name="item5.5">#REF!</definedName>
    <definedName name="item5.6" localSheetId="16">#REF!</definedName>
    <definedName name="item5.6" localSheetId="11">#REF!</definedName>
    <definedName name="item5.6">#REF!</definedName>
    <definedName name="item5.7" localSheetId="16">#REF!</definedName>
    <definedName name="item5.7" localSheetId="11">#REF!</definedName>
    <definedName name="item5.7">#REF!</definedName>
    <definedName name="item6.1" localSheetId="16">#REF!</definedName>
    <definedName name="item6.1" localSheetId="11">#REF!</definedName>
    <definedName name="item6.1">#REF!</definedName>
    <definedName name="item6.2" localSheetId="16">#REF!</definedName>
    <definedName name="item6.2" localSheetId="11">#REF!</definedName>
    <definedName name="item6.2">#REF!</definedName>
    <definedName name="item6.3" localSheetId="16">#REF!</definedName>
    <definedName name="item6.3" localSheetId="11">#REF!</definedName>
    <definedName name="item6.3">#REF!</definedName>
    <definedName name="item6.4" localSheetId="16">#REF!</definedName>
    <definedName name="item6.4" localSheetId="11">#REF!</definedName>
    <definedName name="item6.4">#REF!</definedName>
    <definedName name="item6.5" localSheetId="16">#REF!</definedName>
    <definedName name="item6.5" localSheetId="11">#REF!</definedName>
    <definedName name="item6.5">#REF!</definedName>
    <definedName name="item7.1" localSheetId="16">#REF!</definedName>
    <definedName name="item7.1" localSheetId="11">#REF!</definedName>
    <definedName name="item7.1">#REF!</definedName>
    <definedName name="item7.10" localSheetId="16">#REF!</definedName>
    <definedName name="item7.10" localSheetId="11">#REF!</definedName>
    <definedName name="item7.10">#REF!</definedName>
    <definedName name="item7.11" localSheetId="16">#REF!</definedName>
    <definedName name="item7.11" localSheetId="11">#REF!</definedName>
    <definedName name="item7.11">#REF!</definedName>
    <definedName name="item7.12" localSheetId="16">#REF!</definedName>
    <definedName name="item7.12" localSheetId="11">#REF!</definedName>
    <definedName name="item7.12">#REF!</definedName>
    <definedName name="item7.13" localSheetId="16">#REF!</definedName>
    <definedName name="item7.13" localSheetId="11">#REF!</definedName>
    <definedName name="item7.13">#REF!</definedName>
    <definedName name="item7.14" localSheetId="16">#REF!</definedName>
    <definedName name="item7.14" localSheetId="11">#REF!</definedName>
    <definedName name="item7.14">#REF!</definedName>
    <definedName name="item7.15" localSheetId="16">#REF!</definedName>
    <definedName name="item7.15" localSheetId="11">#REF!</definedName>
    <definedName name="item7.15">#REF!</definedName>
    <definedName name="item7.16" localSheetId="16">#REF!</definedName>
    <definedName name="item7.16" localSheetId="11">#REF!</definedName>
    <definedName name="item7.16">#REF!</definedName>
    <definedName name="item7.17" localSheetId="16">#REF!</definedName>
    <definedName name="item7.17" localSheetId="11">#REF!</definedName>
    <definedName name="item7.17">#REF!</definedName>
    <definedName name="item7.18" localSheetId="16">#REF!</definedName>
    <definedName name="item7.18" localSheetId="11">#REF!</definedName>
    <definedName name="item7.18">#REF!</definedName>
    <definedName name="item7.19" localSheetId="16">#REF!</definedName>
    <definedName name="item7.19" localSheetId="11">#REF!</definedName>
    <definedName name="item7.19">#REF!</definedName>
    <definedName name="item7.2" localSheetId="16">#REF!</definedName>
    <definedName name="item7.2" localSheetId="11">#REF!</definedName>
    <definedName name="item7.2">#REF!</definedName>
    <definedName name="item7.3" localSheetId="16">#REF!</definedName>
    <definedName name="item7.3" localSheetId="11">#REF!</definedName>
    <definedName name="item7.3">#REF!</definedName>
    <definedName name="item7.4" localSheetId="16">#REF!</definedName>
    <definedName name="item7.4" localSheetId="11">#REF!</definedName>
    <definedName name="item7.4">#REF!</definedName>
    <definedName name="item7.5" localSheetId="16">#REF!</definedName>
    <definedName name="item7.5" localSheetId="11">#REF!</definedName>
    <definedName name="item7.5">#REF!</definedName>
    <definedName name="item7.6" localSheetId="16">#REF!</definedName>
    <definedName name="item7.6" localSheetId="11">#REF!</definedName>
    <definedName name="item7.6">#REF!</definedName>
    <definedName name="item7.7" localSheetId="16">#REF!</definedName>
    <definedName name="item7.7" localSheetId="11">#REF!</definedName>
    <definedName name="item7.7">#REF!</definedName>
    <definedName name="item7.8" localSheetId="16">#REF!</definedName>
    <definedName name="item7.8" localSheetId="11">#REF!</definedName>
    <definedName name="item7.8">#REF!</definedName>
    <definedName name="item7.9" localSheetId="16">#REF!</definedName>
    <definedName name="item7.9" localSheetId="11">#REF!</definedName>
    <definedName name="item7.9">#REF!</definedName>
    <definedName name="item8.1" localSheetId="16">#REF!</definedName>
    <definedName name="item8.1" localSheetId="11">#REF!</definedName>
    <definedName name="item8.1">#REF!</definedName>
    <definedName name="item8.2" localSheetId="16">#REF!</definedName>
    <definedName name="item8.2" localSheetId="11">#REF!</definedName>
    <definedName name="item8.2">#REF!</definedName>
    <definedName name="item8.3" localSheetId="16">#REF!</definedName>
    <definedName name="item8.3" localSheetId="11">#REF!</definedName>
    <definedName name="item8.3">#REF!</definedName>
    <definedName name="item8.4" localSheetId="16">#REF!</definedName>
    <definedName name="item8.4" localSheetId="11">#REF!</definedName>
    <definedName name="item8.4">#REF!</definedName>
    <definedName name="item8.5" localSheetId="16">#REF!</definedName>
    <definedName name="item8.5" localSheetId="11">#REF!</definedName>
    <definedName name="item8.5">#REF!</definedName>
    <definedName name="item8.6" localSheetId="16">#REF!</definedName>
    <definedName name="item8.6" localSheetId="11">#REF!</definedName>
    <definedName name="item8.6">#REF!</definedName>
    <definedName name="item9.1" localSheetId="16">#REF!</definedName>
    <definedName name="item9.1" localSheetId="11">#REF!</definedName>
    <definedName name="item9.1">#REF!</definedName>
    <definedName name="item9.2" localSheetId="16">#REF!</definedName>
    <definedName name="item9.2" localSheetId="11">#REF!</definedName>
    <definedName name="item9.2">#REF!</definedName>
    <definedName name="item9.3" localSheetId="16">#REF!</definedName>
    <definedName name="item9.3" localSheetId="11">#REF!</definedName>
    <definedName name="item9.3">#REF!</definedName>
    <definedName name="item9.4" localSheetId="16">#REF!</definedName>
    <definedName name="item9.4" localSheetId="11">#REF!</definedName>
    <definedName name="item9.4">#REF!</definedName>
    <definedName name="item9.5" localSheetId="16">#REF!</definedName>
    <definedName name="item9.5" localSheetId="11">#REF!</definedName>
    <definedName name="item9.5">#REF!</definedName>
    <definedName name="item9.6" localSheetId="16">#REF!</definedName>
    <definedName name="item9.6" localSheetId="11">#REF!</definedName>
    <definedName name="item9.6">#REF!</definedName>
    <definedName name="item9.7" localSheetId="16">#REF!</definedName>
    <definedName name="item9.7" localSheetId="11">#REF!</definedName>
    <definedName name="item9.7">#REF!</definedName>
    <definedName name="item9.8" localSheetId="16">#REF!</definedName>
    <definedName name="item9.8" localSheetId="11">#REF!</definedName>
    <definedName name="item9.8">#REF!</definedName>
    <definedName name="item9.9" localSheetId="16">#REF!</definedName>
    <definedName name="item9.9" localSheetId="11">#REF!</definedName>
    <definedName name="item9.9">#REF!</definedName>
    <definedName name="itm10.2" localSheetId="16">#REF!</definedName>
    <definedName name="itm10.2" localSheetId="11">#REF!</definedName>
    <definedName name="itm10.2">#REF!</definedName>
    <definedName name="iu" localSheetId="11">[15]!PassaExtenso</definedName>
    <definedName name="iu">#REF!</definedName>
    <definedName name="jbgihwqgbib" localSheetId="16">#REF!</definedName>
    <definedName name="jbgihwqgbib" localSheetId="10">#REF!</definedName>
    <definedName name="jbgihwqgbib" localSheetId="11">#REF!</definedName>
    <definedName name="jbgihwqgbib">#REF!</definedName>
    <definedName name="Jd" localSheetId="16">#REF!</definedName>
    <definedName name="Jd" localSheetId="11">#REF!</definedName>
    <definedName name="Jd" localSheetId="1">#REF!</definedName>
    <definedName name="Jd" localSheetId="2">#REF!</definedName>
    <definedName name="Jd">#REF!</definedName>
    <definedName name="JESUS" localSheetId="11">'[9]Refor Out. 2001 - BDI=20% Ajust'!#REF!</definedName>
    <definedName name="JESUS" localSheetId="1">#REF!</definedName>
    <definedName name="JESUS" localSheetId="2">#REF!</definedName>
    <definedName name="JESUS">#REF!</definedName>
    <definedName name="jj" localSheetId="16">#REF!</definedName>
    <definedName name="jj" localSheetId="10">#REF!</definedName>
    <definedName name="jj" localSheetId="11">#REF!</definedName>
    <definedName name="jj" localSheetId="1">#REF!</definedName>
    <definedName name="jj" localSheetId="2">#REF!</definedName>
    <definedName name="jj">#REF!</definedName>
    <definedName name="Jm" localSheetId="16">#REF!</definedName>
    <definedName name="Jm" localSheetId="11">#REF!</definedName>
    <definedName name="Jm">#REF!</definedName>
    <definedName name="juuhyyebjs14" localSheetId="11">#REF!</definedName>
    <definedName name="juuhyyebjs14">#REF!</definedName>
    <definedName name="jygfvsujj_jhs" localSheetId="11">#REF!</definedName>
    <definedName name="jygfvsujj_jhs">#REF!</definedName>
    <definedName name="k" localSheetId="11">'[3]Bm 8'!#REF!</definedName>
    <definedName name="k">#REF!</definedName>
    <definedName name="kg" localSheetId="11">'[8]PLANILHA DE QUANT. E CUSTOS A'!#REF!</definedName>
    <definedName name="kg">#REF!</definedName>
    <definedName name="khgu" localSheetId="16">#REF!</definedName>
    <definedName name="khgu" localSheetId="4">#REF!</definedName>
    <definedName name="khgu" localSheetId="11">#REF!</definedName>
    <definedName name="khgu" localSheetId="12">#REF!</definedName>
    <definedName name="khgu">#REF!</definedName>
    <definedName name="kj" localSheetId="16">#REF!</definedName>
    <definedName name="kj" localSheetId="4">#REF!</definedName>
    <definedName name="kj" localSheetId="11">#REF!</definedName>
    <definedName name="kj" localSheetId="12">#REF!</definedName>
    <definedName name="kj">#REF!</definedName>
    <definedName name="kjh" localSheetId="16">#REF!</definedName>
    <definedName name="kjh" localSheetId="4">#REF!</definedName>
    <definedName name="kjh" localSheetId="11">#REF!</definedName>
    <definedName name="kjh" localSheetId="12">#REF!</definedName>
    <definedName name="kjh">#REF!</definedName>
    <definedName name="KKKK" localSheetId="11">#REF!,#REF!</definedName>
    <definedName name="KKKK">#REF!,#REF!</definedName>
    <definedName name="kkkk2" localSheetId="11">#REF!,#REF!</definedName>
    <definedName name="kkkk2">#REF!,#REF!</definedName>
    <definedName name="kkkkkkk" localSheetId="11">#REF!</definedName>
    <definedName name="kkkkkkk">#REF!</definedName>
    <definedName name="kkkkkkkk3" localSheetId="11">#REF!,#REF!</definedName>
    <definedName name="kkkkkkkk3">#REF!,#REF!</definedName>
    <definedName name="kl" localSheetId="11">#REF!</definedName>
    <definedName name="kl">#REF!</definedName>
    <definedName name="klkl" localSheetId="11">#REF!</definedName>
    <definedName name="klkl">#REF!</definedName>
    <definedName name="KPAV" localSheetId="16">#REF!</definedName>
    <definedName name="KPAV" localSheetId="11">#REF!</definedName>
    <definedName name="KPAV">#REF!</definedName>
    <definedName name="kpavi" localSheetId="16">#REF!</definedName>
    <definedName name="kpavi" localSheetId="11">#REF!</definedName>
    <definedName name="kpavi">#REF!</definedName>
    <definedName name="kpavim" localSheetId="16">#REF!</definedName>
    <definedName name="kpavim" localSheetId="11">#REF!</definedName>
    <definedName name="kpavim">#REF!</definedName>
    <definedName name="kpavime" localSheetId="16">#REF!</definedName>
    <definedName name="kpavime" localSheetId="11">#REF!</definedName>
    <definedName name="kpavime">#REF!</definedName>
    <definedName name="ksye_isuhuh_hsydgs" localSheetId="11">#REF!</definedName>
    <definedName name="ksye_isuhuh_hsydgs">#REF!</definedName>
    <definedName name="KTER" localSheetId="16">#REF!</definedName>
    <definedName name="KTER" localSheetId="11">#REF!</definedName>
    <definedName name="KTER">#REF!</definedName>
    <definedName name="kterr" localSheetId="16">#REF!</definedName>
    <definedName name="kterr" localSheetId="11">#REF!</definedName>
    <definedName name="kterr">#REF!</definedName>
    <definedName name="kterra" localSheetId="16">#REF!</definedName>
    <definedName name="kterra" localSheetId="11">#REF!</definedName>
    <definedName name="kterra">#REF!</definedName>
    <definedName name="kterrap" localSheetId="16">#REF!</definedName>
    <definedName name="kterrap" localSheetId="11">#REF!</definedName>
    <definedName name="kterrap">#REF!</definedName>
    <definedName name="kterraple" localSheetId="16">#REF!</definedName>
    <definedName name="kterraple" localSheetId="11">#REF!</definedName>
    <definedName name="kterraple">#REF!</definedName>
    <definedName name="kudyud" localSheetId="16">#REF!</definedName>
    <definedName name="kudyud" localSheetId="11">#REF!</definedName>
    <definedName name="kudyud">#REF!</definedName>
    <definedName name="l_" localSheetId="11">#REF!</definedName>
    <definedName name="l_">#REF!</definedName>
    <definedName name="la" localSheetId="11">[6]Reforma!#REF!</definedName>
    <definedName name="la">#REF!</definedName>
    <definedName name="Lado2" localSheetId="16">#REF!</definedName>
    <definedName name="Lado2" localSheetId="10">#REF!</definedName>
    <definedName name="Lado2" localSheetId="11">#REF!</definedName>
    <definedName name="Lado2">#REF!</definedName>
    <definedName name="Laranjeiras" localSheetId="11">#REF!,#REF!</definedName>
    <definedName name="Laranjeiras">#REF!,#REF!</definedName>
    <definedName name="LEO" localSheetId="16">#REF!</definedName>
    <definedName name="LEO" localSheetId="10">#REF!</definedName>
    <definedName name="LEO" localSheetId="11">#REF!</definedName>
    <definedName name="LEO">#REF!</definedName>
    <definedName name="LIQUIDEZ" localSheetId="11">[11]Plan1!$A$184:$A$187</definedName>
    <definedName name="LIQUIDEZ" localSheetId="1">#REF!</definedName>
    <definedName name="LIQUIDEZ" localSheetId="2">#REF!</definedName>
    <definedName name="LIQUIDEZ">#REF!</definedName>
    <definedName name="lista" localSheetId="10">#REF!</definedName>
    <definedName name="lista" localSheetId="11">#REF!</definedName>
    <definedName name="lista">#REF!</definedName>
    <definedName name="lista.coluna" localSheetId="11">#REF!</definedName>
    <definedName name="lista.coluna">#REF!</definedName>
    <definedName name="lista.linha" localSheetId="11">#REF!</definedName>
    <definedName name="lista.linha">#REF!</definedName>
    <definedName name="ljh" localSheetId="16">#REF!</definedName>
    <definedName name="ljh" localSheetId="11">#REF!</definedName>
    <definedName name="ljh">#REF!</definedName>
    <definedName name="LLLLL" localSheetId="11">#REF!,#REF!</definedName>
    <definedName name="LLLLL">#REF!,#REF!</definedName>
    <definedName name="Local" localSheetId="16">#REF!</definedName>
    <definedName name="Local" localSheetId="10">#REF!</definedName>
    <definedName name="Local" localSheetId="11">#REF!</definedName>
    <definedName name="Local">#REF!</definedName>
    <definedName name="LOP" localSheetId="16">(#REF!,#REF!)</definedName>
    <definedName name="LOP" localSheetId="10">(#REF!,#REF!)</definedName>
    <definedName name="LOP" localSheetId="11">(#REF!,#REF!)</definedName>
    <definedName name="LOP" localSheetId="1">(#REF!,#REF!)</definedName>
    <definedName name="LOP" localSheetId="2">(#REF!,#REF!)</definedName>
    <definedName name="LOP">(#REF!,#REF!)</definedName>
    <definedName name="Lucro" localSheetId="16">#REF!</definedName>
    <definedName name="Lucro" localSheetId="10">#REF!</definedName>
    <definedName name="Lucro" localSheetId="11">#REF!</definedName>
    <definedName name="Lucro" localSheetId="1">#REF!</definedName>
    <definedName name="Lucro" localSheetId="2">#REF!</definedName>
    <definedName name="Lucro">#REF!</definedName>
    <definedName name="m" localSheetId="16">#REF!</definedName>
    <definedName name="m" localSheetId="11">#REF!</definedName>
    <definedName name="m" localSheetId="1">#REF!</definedName>
    <definedName name="m" localSheetId="2">#REF!</definedName>
    <definedName name="m">#REF!</definedName>
    <definedName name="MAR" localSheetId="11">[6]Reforma!#REF!</definedName>
    <definedName name="MAR" localSheetId="1">#REF!</definedName>
    <definedName name="MAR" localSheetId="2">#REF!</definedName>
    <definedName name="MAR">#REF!</definedName>
    <definedName name="MATRIZ_DE_RESPONSABILIDADE" localSheetId="11">#REF!</definedName>
    <definedName name="MATRIZ_DE_RESPONSABILIDADE">#REF!</definedName>
    <definedName name="MCOD02.020.0010" localSheetId="10">[21]MEMORIAL!#REF!</definedName>
    <definedName name="MCOD02.020.0010" localSheetId="11">[21]MEMORIAL!#REF!</definedName>
    <definedName name="MCOD02.020.0010" localSheetId="1">#REF!</definedName>
    <definedName name="MCOD02.020.0010" localSheetId="2">#REF!</definedName>
    <definedName name="MCOD02.020.0010">#REF!</definedName>
    <definedName name="MCOD02.020.0010_1" localSheetId="11">[22]MEMORIAL!#REF!</definedName>
    <definedName name="MCOD02.020.0010_1" localSheetId="1">#REF!</definedName>
    <definedName name="MCOD02.020.0010_1" localSheetId="2">#REF!</definedName>
    <definedName name="MCOD02.020.0010_1">#REF!</definedName>
    <definedName name="MCOD02.020.0070" localSheetId="11">[21]MEMORIAL!#REF!</definedName>
    <definedName name="MCOD02.020.0070" localSheetId="1">#REF!</definedName>
    <definedName name="MCOD02.020.0070" localSheetId="2">#REF!</definedName>
    <definedName name="MCOD02.020.0070">#REF!</definedName>
    <definedName name="MCOD02.020.0070_1" localSheetId="11">[22]MEMORIAL!#REF!</definedName>
    <definedName name="MCOD02.020.0070_1">#REF!</definedName>
    <definedName name="MCOD02.030.0090" localSheetId="11">[21]MEMORIAL!#REF!</definedName>
    <definedName name="MCOD02.030.0090">#REF!</definedName>
    <definedName name="MCOD02.030.0090_1" localSheetId="11">[22]MEMORIAL!#REF!</definedName>
    <definedName name="MCOD02.030.0090_1">#REF!</definedName>
    <definedName name="MCOD02.030.0100" localSheetId="11">[21]MEMORIAL!#REF!</definedName>
    <definedName name="MCOD02.030.0100">#REF!</definedName>
    <definedName name="MCOD02.030.0100_1" localSheetId="11">[22]MEMORIAL!#REF!</definedName>
    <definedName name="MCOD02.030.0100_1">#REF!</definedName>
    <definedName name="MCOD02.040.0200" localSheetId="11">[21]MEMORIAL!#REF!</definedName>
    <definedName name="MCOD02.040.0200">#REF!</definedName>
    <definedName name="MCOD02.040.0200_1" localSheetId="11">[22]MEMORIAL!#REF!</definedName>
    <definedName name="MCOD02.040.0200_1">#REF!</definedName>
    <definedName name="MCOD02.040.0280" localSheetId="11">[21]MEMORIAL!#REF!</definedName>
    <definedName name="MCOD02.040.0280">#REF!</definedName>
    <definedName name="MCOD02.040.0280_1" localSheetId="11">[22]MEMORIAL!#REF!</definedName>
    <definedName name="MCOD02.040.0280_1">#REF!</definedName>
    <definedName name="MCOD02.040.0921" localSheetId="11">[21]MEMORIAL!#REF!</definedName>
    <definedName name="MCOD02.040.0921">#REF!</definedName>
    <definedName name="MCOD02.040.0921_1" localSheetId="11">[22]MEMORIAL!#REF!</definedName>
    <definedName name="MCOD02.040.0921_1">#REF!</definedName>
    <definedName name="MCOD02.040.1055" localSheetId="11">[21]MEMORIAL!#REF!</definedName>
    <definedName name="MCOD02.040.1055">#REF!</definedName>
    <definedName name="MCOD02.040.1055_1" localSheetId="11">[22]MEMORIAL!#REF!</definedName>
    <definedName name="MCOD02.040.1055_1">#REF!</definedName>
    <definedName name="MCOD02.040.1060" localSheetId="11">[21]MEMORIAL!#REF!</definedName>
    <definedName name="MCOD02.040.1060">#REF!</definedName>
    <definedName name="MCOD02.040.1060_1" localSheetId="11">[22]MEMORIAL!#REF!</definedName>
    <definedName name="MCOD02.040.1060_1">#REF!</definedName>
    <definedName name="MCOD02.040.3790" localSheetId="11">[21]MEMORIAL!#REF!</definedName>
    <definedName name="MCOD02.040.3790">#REF!</definedName>
    <definedName name="MCOD02.040.3790_1" localSheetId="11">[22]MEMORIAL!#REF!</definedName>
    <definedName name="MCOD02.040.3790_1">#REF!</definedName>
    <definedName name="MCOD02.040.3800" localSheetId="11">[21]MEMORIAL!#REF!</definedName>
    <definedName name="MCOD02.040.3800">#REF!</definedName>
    <definedName name="MCOD02.040.3800_1" localSheetId="11">[22]MEMORIAL!#REF!</definedName>
    <definedName name="MCOD02.040.3800_1">#REF!</definedName>
    <definedName name="MCOD02.040.3810" localSheetId="11">[21]MEMORIAL!#REF!</definedName>
    <definedName name="MCOD02.040.3810">#REF!</definedName>
    <definedName name="MCOD02.040.3810_1" localSheetId="11">[22]MEMORIAL!#REF!</definedName>
    <definedName name="MCOD02.040.3810_1">#REF!</definedName>
    <definedName name="MCOD02.040.4510" localSheetId="11">[21]MEMORIAL!#REF!</definedName>
    <definedName name="MCOD02.040.4510">#REF!</definedName>
    <definedName name="MCOD02.040.4510_1" localSheetId="11">[22]MEMORIAL!#REF!</definedName>
    <definedName name="MCOD02.040.4510_1">#REF!</definedName>
    <definedName name="MCOD02.040.4520" localSheetId="11">[21]MEMORIAL!#REF!</definedName>
    <definedName name="MCOD02.040.4520">#REF!</definedName>
    <definedName name="MCOD02.040.4520_1" localSheetId="11">[22]MEMORIAL!#REF!</definedName>
    <definedName name="MCOD02.040.4520_1">#REF!</definedName>
    <definedName name="MCOD02.040.4550" localSheetId="11">[21]MEMORIAL!#REF!</definedName>
    <definedName name="MCOD02.040.4550">#REF!</definedName>
    <definedName name="MCOD02.040.4550_1" localSheetId="11">[22]MEMORIAL!#REF!</definedName>
    <definedName name="MCOD02.040.4550_1">#REF!</definedName>
    <definedName name="MCOD02.040.4620" localSheetId="11">[21]MEMORIAL!#REF!</definedName>
    <definedName name="MCOD02.040.4620">#REF!</definedName>
    <definedName name="MCOD02.040.4620_1" localSheetId="11">[22]MEMORIAL!#REF!</definedName>
    <definedName name="MCOD02.040.4620_1">#REF!</definedName>
    <definedName name="MCOD02.040.4630" localSheetId="11">[21]MEMORIAL!#REF!</definedName>
    <definedName name="MCOD02.040.4630">#REF!</definedName>
    <definedName name="MCOD02.040.4630_1" localSheetId="11">[22]MEMORIAL!#REF!</definedName>
    <definedName name="MCOD02.040.4630_1">#REF!</definedName>
    <definedName name="MCOD02.040.4636" localSheetId="11">[21]MEMORIAL!#REF!</definedName>
    <definedName name="MCOD02.040.4636">#REF!</definedName>
    <definedName name="MCOD02.040.4636_1" localSheetId="11">[22]MEMORIAL!#REF!</definedName>
    <definedName name="MCOD02.040.4636_1">#REF!</definedName>
    <definedName name="MCOD02.040.4690" localSheetId="11">[21]MEMORIAL!#REF!</definedName>
    <definedName name="MCOD02.040.4690">#REF!</definedName>
    <definedName name="MCOD02.040.4690_1" localSheetId="11">[22]MEMORIAL!#REF!</definedName>
    <definedName name="MCOD02.040.4690_1">#REF!</definedName>
    <definedName name="MCOD02.040.7402" localSheetId="11">[21]MEMORIAL!#REF!</definedName>
    <definedName name="MCOD02.040.7402">#REF!</definedName>
    <definedName name="MCOD02.040.7402_1" localSheetId="11">[22]MEMORIAL!#REF!</definedName>
    <definedName name="MCOD02.040.7402_1">#REF!</definedName>
    <definedName name="MCOD02.040.9800" localSheetId="11">[21]MEMORIAL!#REF!</definedName>
    <definedName name="MCOD02.040.9800">#REF!</definedName>
    <definedName name="MCOD02.040.9800_1" localSheetId="11">[22]MEMORIAL!#REF!</definedName>
    <definedName name="MCOD02.040.9800_1">#REF!</definedName>
    <definedName name="MCOD02.040.9802" localSheetId="11">[21]MEMORIAL!#REF!</definedName>
    <definedName name="MCOD02.040.9802">#REF!</definedName>
    <definedName name="MCOD02.040.9802_1" localSheetId="11">[22]MEMORIAL!#REF!</definedName>
    <definedName name="MCOD02.040.9802_1">#REF!</definedName>
    <definedName name="MCOD02.040.9804" localSheetId="11">[21]MEMORIAL!#REF!</definedName>
    <definedName name="MCOD02.040.9804">#REF!</definedName>
    <definedName name="MCOD02.040.9804_1" localSheetId="11">[22]MEMORIAL!#REF!</definedName>
    <definedName name="MCOD02.040.9804_1">#REF!</definedName>
    <definedName name="MCOD02.110.0014" localSheetId="11">[21]MEMORIAL!#REF!</definedName>
    <definedName name="MCOD02.110.0014">#REF!</definedName>
    <definedName name="MCOD02.110.0014_1" localSheetId="11">[22]MEMORIAL!#REF!</definedName>
    <definedName name="MCOD02.110.0014_1">#REF!</definedName>
    <definedName name="MCOD02.110.0054" localSheetId="11">[21]MEMORIAL!#REF!</definedName>
    <definedName name="MCOD02.110.0054">#REF!</definedName>
    <definedName name="MCOD02.110.0054_1" localSheetId="11">[22]MEMORIAL!#REF!</definedName>
    <definedName name="MCOD02.110.0054_1">#REF!</definedName>
    <definedName name="MCOD02.110.0066" localSheetId="11">[21]MEMORIAL!#REF!</definedName>
    <definedName name="MCOD02.110.0066">#REF!</definedName>
    <definedName name="MCOD02.110.0066_1" localSheetId="11">[22]MEMORIAL!#REF!</definedName>
    <definedName name="MCOD02.110.0066_1">#REF!</definedName>
    <definedName name="MCOD02.110.0094" localSheetId="11">[21]MEMORIAL!#REF!</definedName>
    <definedName name="MCOD02.110.0094">#REF!</definedName>
    <definedName name="MCOD02.110.0094_1" localSheetId="11">[22]MEMORIAL!#REF!</definedName>
    <definedName name="MCOD02.110.0094_1">#REF!</definedName>
    <definedName name="MCOD02.110.0106" localSheetId="11">[21]MEMORIAL!#REF!</definedName>
    <definedName name="MCOD02.110.0106">#REF!</definedName>
    <definedName name="MCOD02.110.0106_1" localSheetId="11">[22]MEMORIAL!#REF!</definedName>
    <definedName name="MCOD02.110.0106_1">#REF!</definedName>
    <definedName name="MCOD02.110.0110" localSheetId="11">[21]MEMORIAL!#REF!</definedName>
    <definedName name="MCOD02.110.0110">#REF!</definedName>
    <definedName name="MCOD02.110.0110_1" localSheetId="11">[22]MEMORIAL!#REF!</definedName>
    <definedName name="MCOD02.110.0110_1">#REF!</definedName>
    <definedName name="MCOD02.110.0134" localSheetId="11">[21]MEMORIAL!#REF!</definedName>
    <definedName name="MCOD02.110.0134">#REF!</definedName>
    <definedName name="MCOD02.110.0134_1" localSheetId="11">[22]MEMORIAL!#REF!</definedName>
    <definedName name="MCOD02.110.0134_1">#REF!</definedName>
    <definedName name="MCOD02.110.0146" localSheetId="11">[21]MEMORIAL!#REF!</definedName>
    <definedName name="MCOD02.110.0146">#REF!</definedName>
    <definedName name="MCOD02.110.0146_1" localSheetId="11">[22]MEMORIAL!#REF!</definedName>
    <definedName name="MCOD02.110.0146_1">#REF!</definedName>
    <definedName name="MCOD02.110.0150" localSheetId="11">[21]MEMORIAL!#REF!</definedName>
    <definedName name="MCOD02.110.0150">#REF!</definedName>
    <definedName name="MCOD02.110.0150_1" localSheetId="11">[22]MEMORIAL!#REF!</definedName>
    <definedName name="MCOD02.110.0150_1">#REF!</definedName>
    <definedName name="MCOD02.110.0610" localSheetId="11">[21]MEMORIAL!#REF!</definedName>
    <definedName name="MCOD02.110.0610">#REF!</definedName>
    <definedName name="MCOD02.110.0610_1" localSheetId="11">[22]MEMORIAL!#REF!</definedName>
    <definedName name="MCOD02.110.0610_1">#REF!</definedName>
    <definedName name="MCOD02.110.0620" localSheetId="11">[21]MEMORIAL!#REF!</definedName>
    <definedName name="MCOD02.110.0620">#REF!</definedName>
    <definedName name="MCOD02.110.0620_1" localSheetId="11">[22]MEMORIAL!#REF!</definedName>
    <definedName name="MCOD02.110.0620_1">#REF!</definedName>
    <definedName name="MCOD02.110.0734" localSheetId="11">[21]MEMORIAL!#REF!</definedName>
    <definedName name="MCOD02.110.0734">#REF!</definedName>
    <definedName name="MCOD02.110.0734_1" localSheetId="11">[22]MEMORIAL!#REF!</definedName>
    <definedName name="MCOD02.110.0734_1">#REF!</definedName>
    <definedName name="MCOD02.110.0738" localSheetId="11">[21]MEMORIAL!#REF!</definedName>
    <definedName name="MCOD02.110.0738">#REF!</definedName>
    <definedName name="MCOD02.110.0738_1" localSheetId="11">[22]MEMORIAL!#REF!</definedName>
    <definedName name="MCOD02.110.0738_1">#REF!</definedName>
    <definedName name="MCOD02.110.0750" localSheetId="11">[21]MEMORIAL!#REF!</definedName>
    <definedName name="MCOD02.110.0750">#REF!</definedName>
    <definedName name="MCOD02.110.0750_1" localSheetId="11">[22]MEMORIAL!#REF!</definedName>
    <definedName name="MCOD02.110.0750_1">#REF!</definedName>
    <definedName name="MCOD02.110.1014" localSheetId="11">[21]MEMORIAL!#REF!</definedName>
    <definedName name="MCOD02.110.1014">#REF!</definedName>
    <definedName name="MCOD02.110.1014_1" localSheetId="11">[22]MEMORIAL!#REF!</definedName>
    <definedName name="MCOD02.110.1014_1">#REF!</definedName>
    <definedName name="MCOD02.110.1020" localSheetId="11">[21]MEMORIAL!#REF!</definedName>
    <definedName name="MCOD02.110.1020">#REF!</definedName>
    <definedName name="MCOD02.110.1020_1" localSheetId="11">[22]MEMORIAL!#REF!</definedName>
    <definedName name="MCOD02.110.1020_1">#REF!</definedName>
    <definedName name="MCOD02.110.1164" localSheetId="11">[21]MEMORIAL!#REF!</definedName>
    <definedName name="MCOD02.110.1164">#REF!</definedName>
    <definedName name="MCOD02.110.1164_1" localSheetId="11">[22]MEMORIAL!#REF!</definedName>
    <definedName name="MCOD02.110.1164_1">#REF!</definedName>
    <definedName name="MCOD02.110.1166" localSheetId="11">[21]MEMORIAL!#REF!</definedName>
    <definedName name="MCOD02.110.1166">#REF!</definedName>
    <definedName name="MCOD02.110.1166_1" localSheetId="11">[22]MEMORIAL!#REF!</definedName>
    <definedName name="MCOD02.110.1166_1">#REF!</definedName>
    <definedName name="MCOD02.110.1420" localSheetId="11">[21]MEMORIAL!#REF!</definedName>
    <definedName name="MCOD02.110.1420">#REF!</definedName>
    <definedName name="MCOD02.110.1420_1" localSheetId="11">[22]MEMORIAL!#REF!</definedName>
    <definedName name="MCOD02.110.1420_1">#REF!</definedName>
    <definedName name="MCOD02.110.1426" localSheetId="11">[21]MEMORIAL!#REF!</definedName>
    <definedName name="MCOD02.110.1426">#REF!</definedName>
    <definedName name="MCOD02.110.1426_1" localSheetId="11">[22]MEMORIAL!#REF!</definedName>
    <definedName name="MCOD02.110.1426_1">#REF!</definedName>
    <definedName name="MCOD02.110.1654" localSheetId="11">[21]MEMORIAL!#REF!</definedName>
    <definedName name="MCOD02.110.1654">#REF!</definedName>
    <definedName name="MCOD02.110.1654_1" localSheetId="11">[22]MEMORIAL!#REF!</definedName>
    <definedName name="MCOD02.110.1654_1">#REF!</definedName>
    <definedName name="MCOD02.110.1880" localSheetId="11">[21]MEMORIAL!#REF!</definedName>
    <definedName name="MCOD02.110.1880">#REF!</definedName>
    <definedName name="MCOD02.110.1880_1" localSheetId="11">[22]MEMORIAL!#REF!</definedName>
    <definedName name="MCOD02.110.1880_1">#REF!</definedName>
    <definedName name="MCOD02.110.1974" localSheetId="11">[21]MEMORIAL!#REF!</definedName>
    <definedName name="MCOD02.110.1974">#REF!</definedName>
    <definedName name="MCOD02.110.1974_1" localSheetId="11">[22]MEMORIAL!#REF!</definedName>
    <definedName name="MCOD02.110.1974_1">#REF!</definedName>
    <definedName name="MCOD02.110.1996" localSheetId="11">[21]MEMORIAL!#REF!</definedName>
    <definedName name="MCOD02.110.1996">#REF!</definedName>
    <definedName name="MCOD02.110.1996_1" localSheetId="11">[22]MEMORIAL!#REF!</definedName>
    <definedName name="MCOD02.110.1996_1">#REF!</definedName>
    <definedName name="MCOD02.110.2012" localSheetId="11">[21]MEMORIAL!#REF!</definedName>
    <definedName name="MCOD02.110.2012">#REF!</definedName>
    <definedName name="MCOD02.110.2012_1" localSheetId="11">[22]MEMORIAL!#REF!</definedName>
    <definedName name="MCOD02.110.2012_1">#REF!</definedName>
    <definedName name="MCOD02.110.2016" localSheetId="11">[21]MEMORIAL!#REF!</definedName>
    <definedName name="MCOD02.110.2016">#REF!</definedName>
    <definedName name="MCOD02.110.2016_1" localSheetId="11">[22]MEMORIAL!#REF!</definedName>
    <definedName name="MCOD02.110.2016_1">#REF!</definedName>
    <definedName name="MCOD02.110.2024" localSheetId="11">[21]MEMORIAL!#REF!</definedName>
    <definedName name="MCOD02.110.2024">#REF!</definedName>
    <definedName name="MCOD02.110.2024_1" localSheetId="11">[22]MEMORIAL!#REF!</definedName>
    <definedName name="MCOD02.110.2024_1">#REF!</definedName>
    <definedName name="MCOD02.110.2026" localSheetId="11">[21]MEMORIAL!#REF!</definedName>
    <definedName name="MCOD02.110.2026">#REF!</definedName>
    <definedName name="MCOD02.110.2026_1" localSheetId="11">[22]MEMORIAL!#REF!</definedName>
    <definedName name="MCOD02.110.2026_1">#REF!</definedName>
    <definedName name="MCOD02.110.2310" localSheetId="11">[21]MEMORIAL!#REF!</definedName>
    <definedName name="MCOD02.110.2310">#REF!</definedName>
    <definedName name="MCOD02.110.2310_1" localSheetId="11">[22]MEMORIAL!#REF!</definedName>
    <definedName name="MCOD02.110.2310_1">#REF!</definedName>
    <definedName name="MCOD02.110.2480" localSheetId="11">[21]MEMORIAL!#REF!</definedName>
    <definedName name="MCOD02.110.2480">#REF!</definedName>
    <definedName name="MCOD02.110.2480_1" localSheetId="11">[22]MEMORIAL!#REF!</definedName>
    <definedName name="MCOD02.110.2480_1">#REF!</definedName>
    <definedName name="MCOD02.110.2798" localSheetId="11">[21]MEMORIAL!#REF!</definedName>
    <definedName name="MCOD02.110.2798">#REF!</definedName>
    <definedName name="MCOD02.110.2798_1" localSheetId="11">[22]MEMORIAL!#REF!</definedName>
    <definedName name="MCOD02.110.2798_1">#REF!</definedName>
    <definedName name="MCOD02.110.2806" localSheetId="11">[21]MEMORIAL!#REF!</definedName>
    <definedName name="MCOD02.110.2806">#REF!</definedName>
    <definedName name="MCOD02.110.2806_1" localSheetId="11">[22]MEMORIAL!#REF!</definedName>
    <definedName name="MCOD02.110.2806_1">#REF!</definedName>
    <definedName name="MCOD02.110.2868" localSheetId="11">[21]MEMORIAL!#REF!</definedName>
    <definedName name="MCOD02.110.2868">#REF!</definedName>
    <definedName name="MCOD02.110.2868_1" localSheetId="11">[22]MEMORIAL!#REF!</definedName>
    <definedName name="MCOD02.110.2868_1">#REF!</definedName>
    <definedName name="MCOD02.110.3856" localSheetId="11">[21]MEMORIAL!#REF!</definedName>
    <definedName name="MCOD02.110.3856">#REF!</definedName>
    <definedName name="MCOD02.110.3856_1" localSheetId="11">[22]MEMORIAL!#REF!</definedName>
    <definedName name="MCOD02.110.3856_1">#REF!</definedName>
    <definedName name="MCOD02.110.3908" localSheetId="11">[21]MEMORIAL!#REF!</definedName>
    <definedName name="MCOD02.110.3908">#REF!</definedName>
    <definedName name="MCOD02.110.3908_1" localSheetId="11">[22]MEMORIAL!#REF!</definedName>
    <definedName name="MCOD02.110.3908_1">#REF!</definedName>
    <definedName name="MCOD02.110.3926" localSheetId="11">[21]MEMORIAL!#REF!</definedName>
    <definedName name="MCOD02.110.3926">#REF!</definedName>
    <definedName name="MCOD02.110.3926_1" localSheetId="11">[22]MEMORIAL!#REF!</definedName>
    <definedName name="MCOD02.110.3926_1">#REF!</definedName>
    <definedName name="MCOD02.110.4288" localSheetId="11">[21]MEMORIAL!#REF!</definedName>
    <definedName name="MCOD02.110.4288">#REF!</definedName>
    <definedName name="MCOD02.110.4288_1" localSheetId="11">[22]MEMORIAL!#REF!</definedName>
    <definedName name="MCOD02.110.4288_1">#REF!</definedName>
    <definedName name="MCOD02.110.4296" localSheetId="11">[21]MEMORIAL!#REF!</definedName>
    <definedName name="MCOD02.110.4296">#REF!</definedName>
    <definedName name="MCOD02.110.4296_1" localSheetId="11">[22]MEMORIAL!#REF!</definedName>
    <definedName name="MCOD02.110.4296_1">#REF!</definedName>
    <definedName name="MCOD02.110.4308" localSheetId="11">[21]MEMORIAL!#REF!</definedName>
    <definedName name="MCOD02.110.4308">#REF!</definedName>
    <definedName name="MCOD02.110.4308_1" localSheetId="11">[22]MEMORIAL!#REF!</definedName>
    <definedName name="MCOD02.110.4308_1">#REF!</definedName>
    <definedName name="MCOD02.110.4312" localSheetId="11">[21]MEMORIAL!#REF!</definedName>
    <definedName name="MCOD02.110.4312">#REF!</definedName>
    <definedName name="MCOD02.110.4312_1" localSheetId="11">[22]MEMORIAL!#REF!</definedName>
    <definedName name="MCOD02.110.4312_1">#REF!</definedName>
    <definedName name="MCOD02.110.4320" localSheetId="11">[21]MEMORIAL!#REF!</definedName>
    <definedName name="MCOD02.110.4320">#REF!</definedName>
    <definedName name="MCOD02.110.4320_1" localSheetId="11">[22]MEMORIAL!#REF!</definedName>
    <definedName name="MCOD02.110.4320_1">#REF!</definedName>
    <definedName name="MCOD02.110.4780" localSheetId="11">[21]MEMORIAL!#REF!</definedName>
    <definedName name="MCOD02.110.4780">#REF!</definedName>
    <definedName name="MCOD02.110.4780_1" localSheetId="11">[22]MEMORIAL!#REF!</definedName>
    <definedName name="MCOD02.110.4780_1">#REF!</definedName>
    <definedName name="MCOD02.120.0050" localSheetId="11">[21]MEMORIAL!#REF!</definedName>
    <definedName name="MCOD02.120.0050">#REF!</definedName>
    <definedName name="MCOD02.120.0050_1" localSheetId="11">[22]MEMORIAL!#REF!</definedName>
    <definedName name="MCOD02.120.0050_1">#REF!</definedName>
    <definedName name="MCOD02.120.0060" localSheetId="11">[21]MEMORIAL!#REF!</definedName>
    <definedName name="MCOD02.120.0060">#REF!</definedName>
    <definedName name="MCOD02.120.0060_1" localSheetId="11">[22]MEMORIAL!#REF!</definedName>
    <definedName name="MCOD02.120.0060_1">#REF!</definedName>
    <definedName name="MCOD02.120.0140" localSheetId="11">[21]MEMORIAL!#REF!</definedName>
    <definedName name="MCOD02.120.0140">#REF!</definedName>
    <definedName name="MCOD02.120.0140_1" localSheetId="11">[22]MEMORIAL!#REF!</definedName>
    <definedName name="MCOD02.120.0140_1">#REF!</definedName>
    <definedName name="MCOD02.130.0070" localSheetId="11">[21]MEMORIAL!#REF!</definedName>
    <definedName name="MCOD02.130.0070">#REF!</definedName>
    <definedName name="MCOD02.130.0070_1" localSheetId="11">[22]MEMORIAL!#REF!</definedName>
    <definedName name="MCOD02.130.0070_1">#REF!</definedName>
    <definedName name="MCOD02.130.0080" localSheetId="11">[21]MEMORIAL!#REF!</definedName>
    <definedName name="MCOD02.130.0080">#REF!</definedName>
    <definedName name="MCOD02.130.0080_1" localSheetId="11">[22]MEMORIAL!#REF!</definedName>
    <definedName name="MCOD02.130.0080_1">#REF!</definedName>
    <definedName name="MCOD02.130.0100" localSheetId="11">[21]MEMORIAL!#REF!</definedName>
    <definedName name="MCOD02.130.0100">#REF!</definedName>
    <definedName name="MCOD02.130.0100_1" localSheetId="11">[22]MEMORIAL!#REF!</definedName>
    <definedName name="MCOD02.130.0100_1">#REF!</definedName>
    <definedName name="MCOD02.140.0030" localSheetId="11">[21]MEMORIAL!#REF!</definedName>
    <definedName name="MCOD02.140.0030">#REF!</definedName>
    <definedName name="MCOD02.140.0030_1" localSheetId="11">[22]MEMORIAL!#REF!</definedName>
    <definedName name="MCOD02.140.0030_1">#REF!</definedName>
    <definedName name="MCOD02.140.0080" localSheetId="11">[21]MEMORIAL!#REF!</definedName>
    <definedName name="MCOD02.140.0080">#REF!</definedName>
    <definedName name="MCOD02.140.0080_1" localSheetId="11">[22]MEMORIAL!#REF!</definedName>
    <definedName name="MCOD02.140.0080_1">#REF!</definedName>
    <definedName name="MCOD02.140.0090" localSheetId="11">[21]MEMORIAL!#REF!</definedName>
    <definedName name="MCOD02.140.0090">#REF!</definedName>
    <definedName name="MCOD02.140.0090_1" localSheetId="11">[22]MEMORIAL!#REF!</definedName>
    <definedName name="MCOD02.140.0090_1">#REF!</definedName>
    <definedName name="MCOD02.160.0010" localSheetId="11">[21]MEMORIAL!#REF!</definedName>
    <definedName name="MCOD02.160.0010">#REF!</definedName>
    <definedName name="MCOD02.160.0010_1" localSheetId="11">[22]MEMORIAL!#REF!</definedName>
    <definedName name="MCOD02.160.0010_1">#REF!</definedName>
    <definedName name="MCOD02.160.0110" localSheetId="11">[21]MEMORIAL!#REF!</definedName>
    <definedName name="MCOD02.160.0110">#REF!</definedName>
    <definedName name="MCOD02.160.0110_1" localSheetId="11">[22]MEMORIAL!#REF!</definedName>
    <definedName name="MCOD02.160.0110_1">#REF!</definedName>
    <definedName name="MCOD02.180.0010" localSheetId="11">[21]MEMORIAL!#REF!</definedName>
    <definedName name="MCOD02.180.0010">#REF!</definedName>
    <definedName name="MCOD02.180.0010_1" localSheetId="11">[22]MEMORIAL!#REF!</definedName>
    <definedName name="MCOD02.180.0010_1">#REF!</definedName>
    <definedName name="MCOD02.210.0020" localSheetId="11">[21]MEMORIAL!#REF!</definedName>
    <definedName name="MCOD02.210.0020">#REF!</definedName>
    <definedName name="MCOD02.210.0020_1" localSheetId="11">[22]MEMORIAL!#REF!</definedName>
    <definedName name="MCOD02.210.0020_1">#REF!</definedName>
    <definedName name="MCOD02.210.0030" localSheetId="11">[21]MEMORIAL!#REF!</definedName>
    <definedName name="MCOD02.210.0030">#REF!</definedName>
    <definedName name="MCOD02.210.0030_1" localSheetId="11">[22]MEMORIAL!#REF!</definedName>
    <definedName name="MCOD02.210.0030_1">#REF!</definedName>
    <definedName name="MCOD02.210.0090" localSheetId="11">[21]MEMORIAL!#REF!</definedName>
    <definedName name="MCOD02.210.0090">#REF!</definedName>
    <definedName name="MCOD02.210.0090_1" localSheetId="11">[22]MEMORIAL!#REF!</definedName>
    <definedName name="MCOD02.210.0090_1">#REF!</definedName>
    <definedName name="MCOD02.210.0110" localSheetId="11">[21]MEMORIAL!#REF!</definedName>
    <definedName name="MCOD02.210.0110">#REF!</definedName>
    <definedName name="MCOD02.210.0110_1" localSheetId="11">[22]MEMORIAL!#REF!</definedName>
    <definedName name="MCOD02.210.0110_1">#REF!</definedName>
    <definedName name="MCOD02.210.0310" localSheetId="11">[21]MEMORIAL!#REF!</definedName>
    <definedName name="MCOD02.210.0310">#REF!</definedName>
    <definedName name="MCOD02.210.0310_1" localSheetId="11">[22]MEMORIAL!#REF!</definedName>
    <definedName name="MCOD02.210.0310_1">#REF!</definedName>
    <definedName name="MCOD02.210.0340" localSheetId="11">[21]MEMORIAL!#REF!</definedName>
    <definedName name="MCOD02.210.0340">#REF!</definedName>
    <definedName name="MCOD02.210.0340_1" localSheetId="11">[22]MEMORIAL!#REF!</definedName>
    <definedName name="MCOD02.210.0340_1">#REF!</definedName>
    <definedName name="MCOD02.210.0350" localSheetId="11">[21]MEMORIAL!#REF!</definedName>
    <definedName name="MCOD02.210.0350">#REF!</definedName>
    <definedName name="MCOD02.210.0350_1" localSheetId="11">[22]MEMORIAL!#REF!</definedName>
    <definedName name="MCOD02.210.0350_1">#REF!</definedName>
    <definedName name="MCOD02.210.0360" localSheetId="11">[21]MEMORIAL!#REF!</definedName>
    <definedName name="MCOD02.210.0360">#REF!</definedName>
    <definedName name="MCOD02.210.0360_1" localSheetId="11">[22]MEMORIAL!#REF!</definedName>
    <definedName name="MCOD02.210.0360_1">#REF!</definedName>
    <definedName name="MCOD02.210.0370" localSheetId="11">[21]MEMORIAL!#REF!</definedName>
    <definedName name="MCOD02.210.0370">#REF!</definedName>
    <definedName name="MCOD02.210.0370_1" localSheetId="11">[22]MEMORIAL!#REF!</definedName>
    <definedName name="MCOD02.210.0370_1">#REF!</definedName>
    <definedName name="MCOD02.210.0380" localSheetId="11">[21]MEMORIAL!#REF!</definedName>
    <definedName name="MCOD02.210.0380">#REF!</definedName>
    <definedName name="MCOD02.210.0380_1" localSheetId="11">[22]MEMORIAL!#REF!</definedName>
    <definedName name="MCOD02.210.0380_1">#REF!</definedName>
    <definedName name="MCOD02.210.1620" localSheetId="11">[21]MEMORIAL!#REF!</definedName>
    <definedName name="MCOD02.210.1620">#REF!</definedName>
    <definedName name="MCOD02.210.1620_1" localSheetId="11">[22]MEMORIAL!#REF!</definedName>
    <definedName name="MCOD02.210.1620_1">#REF!</definedName>
    <definedName name="MCOD02.210.1625" localSheetId="11">[21]MEMORIAL!#REF!</definedName>
    <definedName name="MCOD02.210.1625">#REF!</definedName>
    <definedName name="MCOD02.210.1625_1" localSheetId="11">[22]MEMORIAL!#REF!</definedName>
    <definedName name="MCOD02.210.1625_1">#REF!</definedName>
    <definedName name="MCOD02.210.1635" localSheetId="11">[21]MEMORIAL!#REF!</definedName>
    <definedName name="MCOD02.210.1635">#REF!</definedName>
    <definedName name="MCOD02.210.1635_1" localSheetId="11">[22]MEMORIAL!#REF!</definedName>
    <definedName name="MCOD02.210.1635_1">#REF!</definedName>
    <definedName name="MCOD02.210.1637" localSheetId="11">[21]MEMORIAL!#REF!</definedName>
    <definedName name="MCOD02.210.1637">#REF!</definedName>
    <definedName name="MCOD02.210.1637_1" localSheetId="11">[22]MEMORIAL!#REF!</definedName>
    <definedName name="MCOD02.210.1637_1">#REF!</definedName>
    <definedName name="MCOD03.020.0020" localSheetId="11">[21]MEMORIAL!#REF!</definedName>
    <definedName name="MCOD03.020.0020">#REF!</definedName>
    <definedName name="MCOD03.020.0020_1" localSheetId="11">[22]MEMORIAL!#REF!</definedName>
    <definedName name="MCOD03.020.0020_1">#REF!</definedName>
    <definedName name="MCOD05.150.0830" localSheetId="11">[21]MEMORIAL!#REF!</definedName>
    <definedName name="MCOD05.150.0830">#REF!</definedName>
    <definedName name="MCOD05.150.0830_1" localSheetId="11">[22]MEMORIAL!#REF!</definedName>
    <definedName name="MCOD05.150.0830_1">#REF!</definedName>
    <definedName name="MCOD05.150.0840" localSheetId="11">[21]MEMORIAL!#REF!</definedName>
    <definedName name="MCOD05.150.0840">#REF!</definedName>
    <definedName name="MCOD05.150.0840_1" localSheetId="11">[22]MEMORIAL!#REF!</definedName>
    <definedName name="MCOD05.150.0840_1">#REF!</definedName>
    <definedName name="MCODCOTADO01" localSheetId="11">[21]MEMORIAL!#REF!</definedName>
    <definedName name="MCODCOTADO01">#REF!</definedName>
    <definedName name="MCODCOTADO01_1" localSheetId="11">[22]MEMORIAL!#REF!</definedName>
    <definedName name="MCODCOTADO01_1">#REF!</definedName>
    <definedName name="MCODCOTADO02" localSheetId="11">[21]MEMORIAL!#REF!</definedName>
    <definedName name="MCODCOTADO02">#REF!</definedName>
    <definedName name="MCODCOTADO02_1" localSheetId="11">[22]MEMORIAL!#REF!</definedName>
    <definedName name="MCODCOTADO02_1">#REF!</definedName>
    <definedName name="MCODCOTADO03" localSheetId="11">[21]MEMORIAL!#REF!</definedName>
    <definedName name="MCODCOTADO03">#REF!</definedName>
    <definedName name="MCODCOTADO03_1" localSheetId="11">[22]MEMORIAL!#REF!</definedName>
    <definedName name="MCODCOTADO03_1">#REF!</definedName>
    <definedName name="MCODCOTADO04" localSheetId="11">[21]MEMORIAL!#REF!</definedName>
    <definedName name="MCODCOTADO04">#REF!</definedName>
    <definedName name="MCODCOTADO04_1" localSheetId="11">[22]MEMORIAL!#REF!</definedName>
    <definedName name="MCODCOTADO04_1">#REF!</definedName>
    <definedName name="medição" localSheetId="16">#REF!</definedName>
    <definedName name="medição" localSheetId="10">#REF!</definedName>
    <definedName name="medição" localSheetId="11">#REF!</definedName>
    <definedName name="medição" localSheetId="1">#REF!</definedName>
    <definedName name="medição" localSheetId="2">#REF!</definedName>
    <definedName name="medição">#REF!</definedName>
    <definedName name="MEMORIA" localSheetId="16">#REF!</definedName>
    <definedName name="MEMORIA" localSheetId="11">#REF!</definedName>
    <definedName name="MEMORIA">#REF!</definedName>
    <definedName name="MES">#REF!</definedName>
    <definedName name="METODOLOGIA" localSheetId="11">[11]Plan1!$A$195:$A$203</definedName>
    <definedName name="METODOLOGIA" localSheetId="1">#REF!</definedName>
    <definedName name="METODOLOGIA" localSheetId="2">#REF!</definedName>
    <definedName name="METODOLOGIA">#REF!</definedName>
    <definedName name="MmExcelLinker_CBF3F7D5_5F0E_4EA5_B59F_34028F0F12D2" localSheetId="11">[23]PLAN_FORN!#REF!</definedName>
    <definedName name="MmExcelLinker_CBF3F7D5_5F0E_4EA5_B59F_34028F0F12D2">#REF!</definedName>
    <definedName name="mmm" localSheetId="16">#REF!</definedName>
    <definedName name="mmm" localSheetId="10">#REF!</definedName>
    <definedName name="mmm" localSheetId="11">#REF!</definedName>
    <definedName name="mmm" localSheetId="1">#REF!</definedName>
    <definedName name="mmm" localSheetId="2">#REF!</definedName>
    <definedName name="mmm">#REF!</definedName>
    <definedName name="MMMMMM" localSheetId="10">[6]Reforma!#REF!</definedName>
    <definedName name="MMMMMM" localSheetId="11">[6]Reforma!#REF!</definedName>
    <definedName name="MMMMMM" localSheetId="1">#REF!</definedName>
    <definedName name="MMMMMM" localSheetId="2">#REF!</definedName>
    <definedName name="MMMMMM">#REF!</definedName>
    <definedName name="MTOT02.020.0010" localSheetId="11">[21]MEMORIAL!#REF!</definedName>
    <definedName name="MTOT02.020.0010" localSheetId="1">#REF!</definedName>
    <definedName name="MTOT02.020.0010" localSheetId="2">#REF!</definedName>
    <definedName name="MTOT02.020.0010">#REF!</definedName>
    <definedName name="MTOT02.020.0010_1" localSheetId="11">[22]MEMORIAL!#REF!</definedName>
    <definedName name="MTOT02.020.0010_1" localSheetId="1">#REF!</definedName>
    <definedName name="MTOT02.020.0010_1" localSheetId="2">#REF!</definedName>
    <definedName name="MTOT02.020.0010_1">#REF!</definedName>
    <definedName name="MTOT02.020.0070" localSheetId="11">[21]MEMORIAL!#REF!</definedName>
    <definedName name="MTOT02.020.0070" localSheetId="1">#REF!</definedName>
    <definedName name="MTOT02.020.0070" localSheetId="2">#REF!</definedName>
    <definedName name="MTOT02.020.0070">#REF!</definedName>
    <definedName name="MTOT02.020.0070_1" localSheetId="11">[22]MEMORIAL!#REF!</definedName>
    <definedName name="MTOT02.020.0070_1">#REF!</definedName>
    <definedName name="MTOT02.030.0090" localSheetId="11">[21]MEMORIAL!#REF!</definedName>
    <definedName name="MTOT02.030.0090">#REF!</definedName>
    <definedName name="MTOT02.030.0090_1" localSheetId="11">[22]MEMORIAL!#REF!</definedName>
    <definedName name="MTOT02.030.0090_1">#REF!</definedName>
    <definedName name="MTOT02.030.0100" localSheetId="11">[21]MEMORIAL!#REF!</definedName>
    <definedName name="MTOT02.030.0100">#REF!</definedName>
    <definedName name="MTOT02.030.0100_1" localSheetId="11">[22]MEMORIAL!#REF!</definedName>
    <definedName name="MTOT02.030.0100_1">#REF!</definedName>
    <definedName name="MTOT02.040.0200" localSheetId="11">[21]MEMORIAL!#REF!</definedName>
    <definedName name="MTOT02.040.0200">#REF!</definedName>
    <definedName name="MTOT02.040.0200_1" localSheetId="11">[22]MEMORIAL!#REF!</definedName>
    <definedName name="MTOT02.040.0200_1">#REF!</definedName>
    <definedName name="MTOT02.040.0280" localSheetId="11">[21]MEMORIAL!#REF!</definedName>
    <definedName name="MTOT02.040.0280">#REF!</definedName>
    <definedName name="MTOT02.040.0280_1" localSheetId="11">[22]MEMORIAL!#REF!</definedName>
    <definedName name="MTOT02.040.0280_1">#REF!</definedName>
    <definedName name="MTOT02.040.0921" localSheetId="11">[21]MEMORIAL!#REF!</definedName>
    <definedName name="MTOT02.040.0921">#REF!</definedName>
    <definedName name="MTOT02.040.0921_1" localSheetId="11">[22]MEMORIAL!#REF!</definedName>
    <definedName name="MTOT02.040.0921_1">#REF!</definedName>
    <definedName name="MTOT02.040.1055" localSheetId="11">[21]MEMORIAL!#REF!</definedName>
    <definedName name="MTOT02.040.1055">#REF!</definedName>
    <definedName name="MTOT02.040.1055_1" localSheetId="11">[22]MEMORIAL!#REF!</definedName>
    <definedName name="MTOT02.040.1055_1">#REF!</definedName>
    <definedName name="MTOT02.040.1060" localSheetId="11">[21]MEMORIAL!#REF!</definedName>
    <definedName name="MTOT02.040.1060">#REF!</definedName>
    <definedName name="MTOT02.040.1060_1" localSheetId="11">[22]MEMORIAL!#REF!</definedName>
    <definedName name="MTOT02.040.1060_1">#REF!</definedName>
    <definedName name="MTOT02.040.3790" localSheetId="11">[21]MEMORIAL!#REF!</definedName>
    <definedName name="MTOT02.040.3790">#REF!</definedName>
    <definedName name="MTOT02.040.3790_1" localSheetId="11">[22]MEMORIAL!#REF!</definedName>
    <definedName name="MTOT02.040.3790_1">#REF!</definedName>
    <definedName name="MTOT02.040.3800" localSheetId="11">[21]MEMORIAL!#REF!</definedName>
    <definedName name="MTOT02.040.3800">#REF!</definedName>
    <definedName name="MTOT02.040.3800_1" localSheetId="11">[22]MEMORIAL!#REF!</definedName>
    <definedName name="MTOT02.040.3800_1">#REF!</definedName>
    <definedName name="MTOT02.040.3810" localSheetId="11">[21]MEMORIAL!#REF!</definedName>
    <definedName name="MTOT02.040.3810">#REF!</definedName>
    <definedName name="MTOT02.040.3810_1" localSheetId="11">[22]MEMORIAL!#REF!</definedName>
    <definedName name="MTOT02.040.3810_1">#REF!</definedName>
    <definedName name="MTOT02.040.4510" localSheetId="11">[21]MEMORIAL!#REF!</definedName>
    <definedName name="MTOT02.040.4510">#REF!</definedName>
    <definedName name="MTOT02.040.4510_1" localSheetId="11">[22]MEMORIAL!#REF!</definedName>
    <definedName name="MTOT02.040.4510_1">#REF!</definedName>
    <definedName name="MTOT02.040.4520" localSheetId="11">[21]MEMORIAL!#REF!</definedName>
    <definedName name="MTOT02.040.4520">#REF!</definedName>
    <definedName name="MTOT02.040.4520_1" localSheetId="11">[22]MEMORIAL!#REF!</definedName>
    <definedName name="MTOT02.040.4520_1">#REF!</definedName>
    <definedName name="MTOT02.040.4550" localSheetId="11">[21]MEMORIAL!#REF!</definedName>
    <definedName name="MTOT02.040.4550">#REF!</definedName>
    <definedName name="MTOT02.040.4550_1" localSheetId="11">[22]MEMORIAL!#REF!</definedName>
    <definedName name="MTOT02.040.4550_1">#REF!</definedName>
    <definedName name="MTOT02.040.4620" localSheetId="11">[21]MEMORIAL!#REF!</definedName>
    <definedName name="MTOT02.040.4620">#REF!</definedName>
    <definedName name="MTOT02.040.4620_1" localSheetId="11">[22]MEMORIAL!#REF!</definedName>
    <definedName name="MTOT02.040.4620_1">#REF!</definedName>
    <definedName name="MTOT02.040.4630" localSheetId="11">[21]MEMORIAL!#REF!</definedName>
    <definedName name="MTOT02.040.4630">#REF!</definedName>
    <definedName name="MTOT02.040.4630_1" localSheetId="11">[22]MEMORIAL!#REF!</definedName>
    <definedName name="MTOT02.040.4630_1">#REF!</definedName>
    <definedName name="MTOT02.040.4636" localSheetId="11">[21]MEMORIAL!#REF!</definedName>
    <definedName name="MTOT02.040.4636">#REF!</definedName>
    <definedName name="MTOT02.040.4636_1" localSheetId="11">[22]MEMORIAL!#REF!</definedName>
    <definedName name="MTOT02.040.4636_1">#REF!</definedName>
    <definedName name="MTOT02.040.4690" localSheetId="11">[21]MEMORIAL!#REF!</definedName>
    <definedName name="MTOT02.040.4690">#REF!</definedName>
    <definedName name="MTOT02.040.4690_1" localSheetId="11">[22]MEMORIAL!#REF!</definedName>
    <definedName name="MTOT02.040.4690_1">#REF!</definedName>
    <definedName name="MTOT02.040.7402" localSheetId="11">[21]MEMORIAL!#REF!</definedName>
    <definedName name="MTOT02.040.7402">#REF!</definedName>
    <definedName name="MTOT02.040.7402_1" localSheetId="11">[22]MEMORIAL!#REF!</definedName>
    <definedName name="MTOT02.040.7402_1">#REF!</definedName>
    <definedName name="MTOT02.040.9800" localSheetId="11">[21]MEMORIAL!#REF!</definedName>
    <definedName name="MTOT02.040.9800">#REF!</definedName>
    <definedName name="MTOT02.040.9800_1" localSheetId="11">[22]MEMORIAL!#REF!</definedName>
    <definedName name="MTOT02.040.9800_1">#REF!</definedName>
    <definedName name="MTOT02.040.9802" localSheetId="11">[21]MEMORIAL!#REF!</definedName>
    <definedName name="MTOT02.040.9802">#REF!</definedName>
    <definedName name="MTOT02.040.9802_1" localSheetId="11">[22]MEMORIAL!#REF!</definedName>
    <definedName name="MTOT02.040.9802_1">#REF!</definedName>
    <definedName name="MTOT02.040.9804" localSheetId="11">[21]MEMORIAL!#REF!</definedName>
    <definedName name="MTOT02.040.9804">#REF!</definedName>
    <definedName name="MTOT02.040.9804_1" localSheetId="11">[22]MEMORIAL!#REF!</definedName>
    <definedName name="MTOT02.040.9804_1">#REF!</definedName>
    <definedName name="MTOT02.110.0014" localSheetId="11">[21]MEMORIAL!#REF!</definedName>
    <definedName name="MTOT02.110.0014">#REF!</definedName>
    <definedName name="MTOT02.110.0014_1" localSheetId="11">[22]MEMORIAL!#REF!</definedName>
    <definedName name="MTOT02.110.0014_1">#REF!</definedName>
    <definedName name="MTOT02.110.0054" localSheetId="11">[21]MEMORIAL!#REF!</definedName>
    <definedName name="MTOT02.110.0054">#REF!</definedName>
    <definedName name="MTOT02.110.0054_1" localSheetId="11">[22]MEMORIAL!#REF!</definedName>
    <definedName name="MTOT02.110.0054_1">#REF!</definedName>
    <definedName name="MTOT02.110.0066" localSheetId="11">[21]MEMORIAL!#REF!</definedName>
    <definedName name="MTOT02.110.0066">#REF!</definedName>
    <definedName name="MTOT02.110.0066_1" localSheetId="11">[22]MEMORIAL!#REF!</definedName>
    <definedName name="MTOT02.110.0066_1">#REF!</definedName>
    <definedName name="MTOT02.110.0094" localSheetId="11">[21]MEMORIAL!#REF!</definedName>
    <definedName name="MTOT02.110.0094">#REF!</definedName>
    <definedName name="MTOT02.110.0094_1" localSheetId="11">[22]MEMORIAL!#REF!</definedName>
    <definedName name="MTOT02.110.0094_1">#REF!</definedName>
    <definedName name="MTOT02.110.0106" localSheetId="11">[21]MEMORIAL!#REF!</definedName>
    <definedName name="MTOT02.110.0106">#REF!</definedName>
    <definedName name="MTOT02.110.0106_1" localSheetId="11">[22]MEMORIAL!#REF!</definedName>
    <definedName name="MTOT02.110.0106_1">#REF!</definedName>
    <definedName name="MTOT02.110.0110" localSheetId="11">[21]MEMORIAL!#REF!</definedName>
    <definedName name="MTOT02.110.0110">#REF!</definedName>
    <definedName name="MTOT02.110.0110_1" localSheetId="11">[22]MEMORIAL!#REF!</definedName>
    <definedName name="MTOT02.110.0110_1">#REF!</definedName>
    <definedName name="MTOT02.110.0134" localSheetId="11">[21]MEMORIAL!#REF!</definedName>
    <definedName name="MTOT02.110.0134">#REF!</definedName>
    <definedName name="MTOT02.110.0134_1" localSheetId="11">[22]MEMORIAL!#REF!</definedName>
    <definedName name="MTOT02.110.0134_1">#REF!</definedName>
    <definedName name="MTOT02.110.0146" localSheetId="11">[21]MEMORIAL!#REF!</definedName>
    <definedName name="MTOT02.110.0146">#REF!</definedName>
    <definedName name="MTOT02.110.0146_1" localSheetId="11">[22]MEMORIAL!#REF!</definedName>
    <definedName name="MTOT02.110.0146_1">#REF!</definedName>
    <definedName name="MTOT02.110.0150" localSheetId="11">[21]MEMORIAL!#REF!</definedName>
    <definedName name="MTOT02.110.0150">#REF!</definedName>
    <definedName name="MTOT02.110.0150_1" localSheetId="11">[22]MEMORIAL!#REF!</definedName>
    <definedName name="MTOT02.110.0150_1">#REF!</definedName>
    <definedName name="MTOT02.110.0610" localSheetId="11">[21]MEMORIAL!#REF!</definedName>
    <definedName name="MTOT02.110.0610">#REF!</definedName>
    <definedName name="MTOT02.110.0610_1" localSheetId="11">[22]MEMORIAL!#REF!</definedName>
    <definedName name="MTOT02.110.0610_1">#REF!</definedName>
    <definedName name="MTOT02.110.0620" localSheetId="11">[21]MEMORIAL!#REF!</definedName>
    <definedName name="MTOT02.110.0620">#REF!</definedName>
    <definedName name="MTOT02.110.0620_1" localSheetId="11">[22]MEMORIAL!#REF!</definedName>
    <definedName name="MTOT02.110.0620_1">#REF!</definedName>
    <definedName name="MTOT02.110.0734" localSheetId="11">[21]MEMORIAL!#REF!</definedName>
    <definedName name="MTOT02.110.0734">#REF!</definedName>
    <definedName name="MTOT02.110.0734_1" localSheetId="11">[22]MEMORIAL!#REF!</definedName>
    <definedName name="MTOT02.110.0734_1">#REF!</definedName>
    <definedName name="MTOT02.110.0738" localSheetId="11">[21]MEMORIAL!#REF!</definedName>
    <definedName name="MTOT02.110.0738">#REF!</definedName>
    <definedName name="MTOT02.110.0738_1" localSheetId="11">[22]MEMORIAL!#REF!</definedName>
    <definedName name="MTOT02.110.0738_1">#REF!</definedName>
    <definedName name="MTOT02.110.0750" localSheetId="11">[21]MEMORIAL!#REF!</definedName>
    <definedName name="MTOT02.110.0750">#REF!</definedName>
    <definedName name="MTOT02.110.0750_1" localSheetId="11">[22]MEMORIAL!#REF!</definedName>
    <definedName name="MTOT02.110.0750_1">#REF!</definedName>
    <definedName name="MTOT02.110.1014" localSheetId="11">[21]MEMORIAL!#REF!</definedName>
    <definedName name="MTOT02.110.1014">#REF!</definedName>
    <definedName name="MTOT02.110.1014_1" localSheetId="11">[22]MEMORIAL!#REF!</definedName>
    <definedName name="MTOT02.110.1014_1">#REF!</definedName>
    <definedName name="MTOT02.110.1020" localSheetId="11">[21]MEMORIAL!#REF!</definedName>
    <definedName name="MTOT02.110.1020">#REF!</definedName>
    <definedName name="MTOT02.110.1020_1" localSheetId="11">[22]MEMORIAL!#REF!</definedName>
    <definedName name="MTOT02.110.1020_1">#REF!</definedName>
    <definedName name="MTOT02.110.1164" localSheetId="11">[21]MEMORIAL!#REF!</definedName>
    <definedName name="MTOT02.110.1164">#REF!</definedName>
    <definedName name="MTOT02.110.1164_1" localSheetId="11">[22]MEMORIAL!#REF!</definedName>
    <definedName name="MTOT02.110.1164_1">#REF!</definedName>
    <definedName name="MTOT02.110.1166" localSheetId="11">[21]MEMORIAL!#REF!</definedName>
    <definedName name="MTOT02.110.1166">#REF!</definedName>
    <definedName name="MTOT02.110.1166_1" localSheetId="11">[22]MEMORIAL!#REF!</definedName>
    <definedName name="MTOT02.110.1166_1">#REF!</definedName>
    <definedName name="MTOT02.110.1420" localSheetId="11">[21]MEMORIAL!#REF!</definedName>
    <definedName name="MTOT02.110.1420">#REF!</definedName>
    <definedName name="MTOT02.110.1420_1" localSheetId="11">[22]MEMORIAL!#REF!</definedName>
    <definedName name="MTOT02.110.1420_1">#REF!</definedName>
    <definedName name="MTOT02.110.1426" localSheetId="11">[21]MEMORIAL!#REF!</definedName>
    <definedName name="MTOT02.110.1426">#REF!</definedName>
    <definedName name="MTOT02.110.1426_1" localSheetId="11">[22]MEMORIAL!#REF!</definedName>
    <definedName name="MTOT02.110.1426_1">#REF!</definedName>
    <definedName name="MTOT02.110.1654" localSheetId="11">[21]MEMORIAL!#REF!</definedName>
    <definedName name="MTOT02.110.1654">#REF!</definedName>
    <definedName name="MTOT02.110.1654_1" localSheetId="11">[22]MEMORIAL!#REF!</definedName>
    <definedName name="MTOT02.110.1654_1">#REF!</definedName>
    <definedName name="MTOT02.110.1880" localSheetId="11">[21]MEMORIAL!#REF!</definedName>
    <definedName name="MTOT02.110.1880">#REF!</definedName>
    <definedName name="MTOT02.110.1880_1" localSheetId="11">[22]MEMORIAL!#REF!</definedName>
    <definedName name="MTOT02.110.1880_1">#REF!</definedName>
    <definedName name="MTOT02.110.1974" localSheetId="11">[21]MEMORIAL!#REF!</definedName>
    <definedName name="MTOT02.110.1974">#REF!</definedName>
    <definedName name="MTOT02.110.1974_1" localSheetId="11">[22]MEMORIAL!#REF!</definedName>
    <definedName name="MTOT02.110.1974_1">#REF!</definedName>
    <definedName name="MTOT02.110.1996" localSheetId="11">[21]MEMORIAL!#REF!</definedName>
    <definedName name="MTOT02.110.1996">#REF!</definedName>
    <definedName name="MTOT02.110.1996_1" localSheetId="11">[22]MEMORIAL!#REF!</definedName>
    <definedName name="MTOT02.110.1996_1">#REF!</definedName>
    <definedName name="MTOT02.110.2012" localSheetId="11">[21]MEMORIAL!#REF!</definedName>
    <definedName name="MTOT02.110.2012">#REF!</definedName>
    <definedName name="MTOT02.110.2012_1" localSheetId="11">[22]MEMORIAL!#REF!</definedName>
    <definedName name="MTOT02.110.2012_1">#REF!</definedName>
    <definedName name="MTOT02.110.2016" localSheetId="11">[21]MEMORIAL!#REF!</definedName>
    <definedName name="MTOT02.110.2016">#REF!</definedName>
    <definedName name="MTOT02.110.2016_1" localSheetId="11">[22]MEMORIAL!#REF!</definedName>
    <definedName name="MTOT02.110.2016_1">#REF!</definedName>
    <definedName name="MTOT02.110.2024" localSheetId="11">[21]MEMORIAL!#REF!</definedName>
    <definedName name="MTOT02.110.2024">#REF!</definedName>
    <definedName name="MTOT02.110.2024_1" localSheetId="11">[22]MEMORIAL!#REF!</definedName>
    <definedName name="MTOT02.110.2024_1">#REF!</definedName>
    <definedName name="MTOT02.110.2026" localSheetId="11">[21]MEMORIAL!#REF!</definedName>
    <definedName name="MTOT02.110.2026">#REF!</definedName>
    <definedName name="MTOT02.110.2026_1" localSheetId="11">[22]MEMORIAL!#REF!</definedName>
    <definedName name="MTOT02.110.2026_1">#REF!</definedName>
    <definedName name="MTOT02.110.2310" localSheetId="11">[21]MEMORIAL!#REF!</definedName>
    <definedName name="MTOT02.110.2310">#REF!</definedName>
    <definedName name="MTOT02.110.2310_1" localSheetId="11">[22]MEMORIAL!#REF!</definedName>
    <definedName name="MTOT02.110.2310_1">#REF!</definedName>
    <definedName name="MTOT02.110.2480" localSheetId="11">[21]MEMORIAL!#REF!</definedName>
    <definedName name="MTOT02.110.2480">#REF!</definedName>
    <definedName name="MTOT02.110.2480_1" localSheetId="11">[22]MEMORIAL!#REF!</definedName>
    <definedName name="MTOT02.110.2480_1">#REF!</definedName>
    <definedName name="MTOT02.110.2798" localSheetId="11">[21]MEMORIAL!#REF!</definedName>
    <definedName name="MTOT02.110.2798">#REF!</definedName>
    <definedName name="MTOT02.110.2798_1" localSheetId="11">[22]MEMORIAL!#REF!</definedName>
    <definedName name="MTOT02.110.2798_1">#REF!</definedName>
    <definedName name="MTOT02.110.2806" localSheetId="11">[21]MEMORIAL!#REF!</definedName>
    <definedName name="MTOT02.110.2806">#REF!</definedName>
    <definedName name="MTOT02.110.2806_1" localSheetId="11">[22]MEMORIAL!#REF!</definedName>
    <definedName name="MTOT02.110.2806_1">#REF!</definedName>
    <definedName name="MTOT02.110.2868" localSheetId="11">[21]MEMORIAL!#REF!</definedName>
    <definedName name="MTOT02.110.2868">#REF!</definedName>
    <definedName name="MTOT02.110.2868_1" localSheetId="11">[22]MEMORIAL!#REF!</definedName>
    <definedName name="MTOT02.110.2868_1">#REF!</definedName>
    <definedName name="MTOT02.110.3856" localSheetId="11">[21]MEMORIAL!#REF!</definedName>
    <definedName name="MTOT02.110.3856">#REF!</definedName>
    <definedName name="MTOT02.110.3856_1" localSheetId="11">[22]MEMORIAL!#REF!</definedName>
    <definedName name="MTOT02.110.3856_1">#REF!</definedName>
    <definedName name="MTOT02.110.3908" localSheetId="11">[21]MEMORIAL!#REF!</definedName>
    <definedName name="MTOT02.110.3908">#REF!</definedName>
    <definedName name="MTOT02.110.3908_1" localSheetId="11">[22]MEMORIAL!#REF!</definedName>
    <definedName name="MTOT02.110.3908_1">#REF!</definedName>
    <definedName name="MTOT02.110.3926" localSheetId="11">[21]MEMORIAL!#REF!</definedName>
    <definedName name="MTOT02.110.3926">#REF!</definedName>
    <definedName name="MTOT02.110.3926_1" localSheetId="11">[22]MEMORIAL!#REF!</definedName>
    <definedName name="MTOT02.110.3926_1">#REF!</definedName>
    <definedName name="MTOT02.110.4288" localSheetId="11">[21]MEMORIAL!#REF!</definedName>
    <definedName name="MTOT02.110.4288">#REF!</definedName>
    <definedName name="MTOT02.110.4288_1" localSheetId="11">[22]MEMORIAL!#REF!</definedName>
    <definedName name="MTOT02.110.4288_1">#REF!</definedName>
    <definedName name="MTOT02.110.4296" localSheetId="11">[21]MEMORIAL!#REF!</definedName>
    <definedName name="MTOT02.110.4296">#REF!</definedName>
    <definedName name="MTOT02.110.4296_1" localSheetId="11">[22]MEMORIAL!#REF!</definedName>
    <definedName name="MTOT02.110.4296_1">#REF!</definedName>
    <definedName name="MTOT02.110.4308" localSheetId="11">[21]MEMORIAL!#REF!</definedName>
    <definedName name="MTOT02.110.4308">#REF!</definedName>
    <definedName name="MTOT02.110.4308_1" localSheetId="11">[22]MEMORIAL!#REF!</definedName>
    <definedName name="MTOT02.110.4308_1">#REF!</definedName>
    <definedName name="MTOT02.110.4312" localSheetId="11">[21]MEMORIAL!#REF!</definedName>
    <definedName name="MTOT02.110.4312">#REF!</definedName>
    <definedName name="MTOT02.110.4312_1" localSheetId="11">[22]MEMORIAL!#REF!</definedName>
    <definedName name="MTOT02.110.4312_1">#REF!</definedName>
    <definedName name="MTOT02.110.4320" localSheetId="11">[21]MEMORIAL!#REF!</definedName>
    <definedName name="MTOT02.110.4320">#REF!</definedName>
    <definedName name="MTOT02.110.4320_1" localSheetId="11">[22]MEMORIAL!#REF!</definedName>
    <definedName name="MTOT02.110.4320_1">#REF!</definedName>
    <definedName name="MTOT02.110.4780" localSheetId="11">[21]MEMORIAL!#REF!</definedName>
    <definedName name="MTOT02.110.4780">#REF!</definedName>
    <definedName name="MTOT02.110.4780_1" localSheetId="11">[22]MEMORIAL!#REF!</definedName>
    <definedName name="MTOT02.110.4780_1">#REF!</definedName>
    <definedName name="MTOT02.110.610" localSheetId="11">[21]MEMORIAL!#REF!</definedName>
    <definedName name="MTOT02.110.610">#REF!</definedName>
    <definedName name="MTOT02.110.610_1" localSheetId="11">[22]MEMORIAL!#REF!</definedName>
    <definedName name="MTOT02.110.610_1">#REF!</definedName>
    <definedName name="MTOT02.120.0050" localSheetId="11">[21]MEMORIAL!#REF!</definedName>
    <definedName name="MTOT02.120.0050">#REF!</definedName>
    <definedName name="MTOT02.120.0050_1" localSheetId="11">[22]MEMORIAL!#REF!</definedName>
    <definedName name="MTOT02.120.0050_1">#REF!</definedName>
    <definedName name="MTOT02.120.0060" localSheetId="11">[21]MEMORIAL!#REF!</definedName>
    <definedName name="MTOT02.120.0060">#REF!</definedName>
    <definedName name="MTOT02.120.0060_1" localSheetId="11">[22]MEMORIAL!#REF!</definedName>
    <definedName name="MTOT02.120.0060_1">#REF!</definedName>
    <definedName name="MTOT02.120.0140" localSheetId="11">[21]MEMORIAL!#REF!</definedName>
    <definedName name="MTOT02.120.0140">#REF!</definedName>
    <definedName name="MTOT02.120.0140_1" localSheetId="11">[22]MEMORIAL!#REF!</definedName>
    <definedName name="MTOT02.120.0140_1">#REF!</definedName>
    <definedName name="MTOT02.130.0070" localSheetId="11">[21]MEMORIAL!#REF!</definedName>
    <definedName name="MTOT02.130.0070">#REF!</definedName>
    <definedName name="MTOT02.130.0070_1" localSheetId="11">[22]MEMORIAL!#REF!</definedName>
    <definedName name="MTOT02.130.0070_1">#REF!</definedName>
    <definedName name="MTOT02.130.0080" localSheetId="11">[21]MEMORIAL!#REF!</definedName>
    <definedName name="MTOT02.130.0080">#REF!</definedName>
    <definedName name="MTOT02.130.0080_1" localSheetId="11">[22]MEMORIAL!#REF!</definedName>
    <definedName name="MTOT02.130.0080_1">#REF!</definedName>
    <definedName name="MTOT02.130.0100" localSheetId="11">[21]MEMORIAL!#REF!</definedName>
    <definedName name="MTOT02.130.0100">#REF!</definedName>
    <definedName name="MTOT02.130.0100_1" localSheetId="11">[22]MEMORIAL!#REF!</definedName>
    <definedName name="MTOT02.130.0100_1">#REF!</definedName>
    <definedName name="MTOT02.140.0030" localSheetId="11">[21]MEMORIAL!#REF!</definedName>
    <definedName name="MTOT02.140.0030">#REF!</definedName>
    <definedName name="MTOT02.140.0030_1" localSheetId="11">[22]MEMORIAL!#REF!</definedName>
    <definedName name="MTOT02.140.0030_1">#REF!</definedName>
    <definedName name="MTOT02.140.0080" localSheetId="11">[21]MEMORIAL!#REF!</definedName>
    <definedName name="MTOT02.140.0080">#REF!</definedName>
    <definedName name="MTOT02.140.0080_1" localSheetId="11">[22]MEMORIAL!#REF!</definedName>
    <definedName name="MTOT02.140.0080_1">#REF!</definedName>
    <definedName name="MTOT02.140.0090" localSheetId="11">[21]MEMORIAL!#REF!</definedName>
    <definedName name="MTOT02.140.0090">#REF!</definedName>
    <definedName name="MTOT02.140.0090_1" localSheetId="11">[22]MEMORIAL!#REF!</definedName>
    <definedName name="MTOT02.140.0090_1">#REF!</definedName>
    <definedName name="MTOT02.160.0010" localSheetId="11">[21]MEMORIAL!#REF!</definedName>
    <definedName name="MTOT02.160.0010">#REF!</definedName>
    <definedName name="MTOT02.160.0010_1" localSheetId="11">[22]MEMORIAL!#REF!</definedName>
    <definedName name="MTOT02.160.0010_1">#REF!</definedName>
    <definedName name="MTOT02.160.0110" localSheetId="11">[21]MEMORIAL!#REF!</definedName>
    <definedName name="MTOT02.160.0110">#REF!</definedName>
    <definedName name="MTOT02.160.0110_1" localSheetId="11">[22]MEMORIAL!#REF!</definedName>
    <definedName name="MTOT02.160.0110_1">#REF!</definedName>
    <definedName name="MTOT02.180.0010" localSheetId="11">[21]MEMORIAL!#REF!</definedName>
    <definedName name="MTOT02.180.0010">#REF!</definedName>
    <definedName name="MTOT02.180.0010_1" localSheetId="11">[22]MEMORIAL!#REF!</definedName>
    <definedName name="MTOT02.180.0010_1">#REF!</definedName>
    <definedName name="MTOT02.210.0020" localSheetId="11">[21]MEMORIAL!#REF!</definedName>
    <definedName name="MTOT02.210.0020">#REF!</definedName>
    <definedName name="MTOT02.210.0020_1" localSheetId="11">[22]MEMORIAL!#REF!</definedName>
    <definedName name="MTOT02.210.0020_1">#REF!</definedName>
    <definedName name="MTOT02.210.0030" localSheetId="11">[21]MEMORIAL!#REF!</definedName>
    <definedName name="MTOT02.210.0030">#REF!</definedName>
    <definedName name="MTOT02.210.0030_1" localSheetId="11">[22]MEMORIAL!#REF!</definedName>
    <definedName name="MTOT02.210.0030_1">#REF!</definedName>
    <definedName name="MTOT02.210.0090" localSheetId="11">[21]MEMORIAL!#REF!</definedName>
    <definedName name="MTOT02.210.0090">#REF!</definedName>
    <definedName name="MTOT02.210.0090_1" localSheetId="11">[22]MEMORIAL!#REF!</definedName>
    <definedName name="MTOT02.210.0090_1">#REF!</definedName>
    <definedName name="MTOT02.210.0110" localSheetId="11">[21]MEMORIAL!#REF!</definedName>
    <definedName name="MTOT02.210.0110">#REF!</definedName>
    <definedName name="MTOT02.210.0110_1" localSheetId="11">[22]MEMORIAL!#REF!</definedName>
    <definedName name="MTOT02.210.0110_1">#REF!</definedName>
    <definedName name="MTOT02.210.0310" localSheetId="11">[21]MEMORIAL!#REF!</definedName>
    <definedName name="MTOT02.210.0310">#REF!</definedName>
    <definedName name="MTOT02.210.0310_1" localSheetId="11">[22]MEMORIAL!#REF!</definedName>
    <definedName name="MTOT02.210.0310_1">#REF!</definedName>
    <definedName name="MTOT02.210.0340" localSheetId="11">[21]MEMORIAL!#REF!</definedName>
    <definedName name="MTOT02.210.0340">#REF!</definedName>
    <definedName name="MTOT02.210.0340_1" localSheetId="11">[22]MEMORIAL!#REF!</definedName>
    <definedName name="MTOT02.210.0340_1">#REF!</definedName>
    <definedName name="MTOT02.210.0350" localSheetId="11">[21]MEMORIAL!#REF!</definedName>
    <definedName name="MTOT02.210.0350">#REF!</definedName>
    <definedName name="MTOT02.210.0350_1" localSheetId="11">[22]MEMORIAL!#REF!</definedName>
    <definedName name="MTOT02.210.0350_1">#REF!</definedName>
    <definedName name="MTOT02.210.0360" localSheetId="11">[21]MEMORIAL!#REF!</definedName>
    <definedName name="MTOT02.210.0360">#REF!</definedName>
    <definedName name="MTOT02.210.0360_1" localSheetId="11">[22]MEMORIAL!#REF!</definedName>
    <definedName name="MTOT02.210.0360_1">#REF!</definedName>
    <definedName name="MTOT02.210.0370" localSheetId="11">[21]MEMORIAL!#REF!</definedName>
    <definedName name="MTOT02.210.0370">#REF!</definedName>
    <definedName name="MTOT02.210.0370_1" localSheetId="11">[22]MEMORIAL!#REF!</definedName>
    <definedName name="MTOT02.210.0370_1">#REF!</definedName>
    <definedName name="MTOT02.210.0380" localSheetId="11">[21]MEMORIAL!#REF!</definedName>
    <definedName name="MTOT02.210.0380">#REF!</definedName>
    <definedName name="MTOT02.210.0380_1" localSheetId="11">[22]MEMORIAL!#REF!</definedName>
    <definedName name="MTOT02.210.0380_1">#REF!</definedName>
    <definedName name="MTOT02.210.1620" localSheetId="11">[21]MEMORIAL!#REF!</definedName>
    <definedName name="MTOT02.210.1620">#REF!</definedName>
    <definedName name="MTOT02.210.1620_1" localSheetId="11">[22]MEMORIAL!#REF!</definedName>
    <definedName name="MTOT02.210.1620_1">#REF!</definedName>
    <definedName name="MTOT02.210.1625" localSheetId="11">[21]MEMORIAL!#REF!</definedName>
    <definedName name="MTOT02.210.1625">#REF!</definedName>
    <definedName name="MTOT02.210.1625_1" localSheetId="11">[22]MEMORIAL!#REF!</definedName>
    <definedName name="MTOT02.210.1625_1">#REF!</definedName>
    <definedName name="MTOT02.210.1635" localSheetId="11">[21]MEMORIAL!#REF!</definedName>
    <definedName name="MTOT02.210.1635">#REF!</definedName>
    <definedName name="MTOT02.210.1635_1" localSheetId="11">[22]MEMORIAL!#REF!</definedName>
    <definedName name="MTOT02.210.1635_1">#REF!</definedName>
    <definedName name="MTOT02.210.1637" localSheetId="11">[21]MEMORIAL!#REF!</definedName>
    <definedName name="MTOT02.210.1637">#REF!</definedName>
    <definedName name="MTOT02.210.1637_1" localSheetId="11">[22]MEMORIAL!#REF!</definedName>
    <definedName name="MTOT02.210.1637_1">#REF!</definedName>
    <definedName name="MTOT02.2140." localSheetId="11">[21]MEMORIAL!#REF!</definedName>
    <definedName name="MTOT02.2140.">#REF!</definedName>
    <definedName name="MTOT02.2140._1" localSheetId="11">[22]MEMORIAL!#REF!</definedName>
    <definedName name="MTOT02.2140._1">#REF!</definedName>
    <definedName name="MTOT03.020.0020" localSheetId="11">[21]MEMORIAL!#REF!</definedName>
    <definedName name="MTOT03.020.0020">#REF!</definedName>
    <definedName name="MTOT03.020.0020_1" localSheetId="11">[22]MEMORIAL!#REF!</definedName>
    <definedName name="MTOT03.020.0020_1">#REF!</definedName>
    <definedName name="MTOT05.150.0830" localSheetId="11">[21]MEMORIAL!#REF!</definedName>
    <definedName name="MTOT05.150.0830">#REF!</definedName>
    <definedName name="MTOT05.150.0830_1" localSheetId="11">[22]MEMORIAL!#REF!</definedName>
    <definedName name="MTOT05.150.0830_1">#REF!</definedName>
    <definedName name="MTOT05.150.0840" localSheetId="11">[21]MEMORIAL!#REF!</definedName>
    <definedName name="MTOT05.150.0840">#REF!</definedName>
    <definedName name="MTOT05.150.0840_1" localSheetId="11">[22]MEMORIAL!#REF!</definedName>
    <definedName name="MTOT05.150.0840_1">#REF!</definedName>
    <definedName name="MTOTCOTADO01" localSheetId="11">[21]MEMORIAL!#REF!</definedName>
    <definedName name="MTOTCOTADO01">#REF!</definedName>
    <definedName name="MTOTCOTADO01_1" localSheetId="11">[22]MEMORIAL!#REF!</definedName>
    <definedName name="MTOTCOTADO01_1">#REF!</definedName>
    <definedName name="MTOTCOTADO02" localSheetId="11">[21]MEMORIAL!#REF!</definedName>
    <definedName name="MTOTCOTADO02">#REF!</definedName>
    <definedName name="MTOTCOTADO02_1" localSheetId="11">[22]MEMORIAL!#REF!</definedName>
    <definedName name="MTOTCOTADO02_1">#REF!</definedName>
    <definedName name="MTOTCOTADO03" localSheetId="11">[21]MEMORIAL!#REF!</definedName>
    <definedName name="MTOTCOTADO03">#REF!</definedName>
    <definedName name="MTOTCOTADO03_1" localSheetId="11">[22]MEMORIAL!#REF!</definedName>
    <definedName name="MTOTCOTADO03_1">#REF!</definedName>
    <definedName name="MTOTCOTADO04" localSheetId="11">[21]MEMORIAL!#REF!</definedName>
    <definedName name="MTOTCOTADO04">#REF!</definedName>
    <definedName name="MTOTCOTADO04_1" localSheetId="11">[22]MEMORIAL!#REF!</definedName>
    <definedName name="MTOTCOTADO04_1">#REF!</definedName>
    <definedName name="MTOTCOTADO05" localSheetId="11">[21]MEMORIAL!#REF!</definedName>
    <definedName name="MTOTCOTADO05">#REF!</definedName>
    <definedName name="MTOTCOTADO05_1" localSheetId="11">[22]MEMORIAL!#REF!</definedName>
    <definedName name="MTOTCOTADO05_1">#REF!</definedName>
    <definedName name="MTOTCOTADO21" localSheetId="11">[12]MEMORIAL!#REF!</definedName>
    <definedName name="MTOTCOTADO21">#REF!</definedName>
    <definedName name="MTOTCOTADO21_1" localSheetId="11">[12]MEMORIAL!#REF!</definedName>
    <definedName name="MTOTCOTADO21_1">#REF!</definedName>
    <definedName name="MTOTVERBA" localSheetId="11">[12]MEMORIAL!#REF!</definedName>
    <definedName name="MTOTVERBA">#REF!</definedName>
    <definedName name="MTOTVERBA_1" localSheetId="11">[12]MEMORIAL!#REF!</definedName>
    <definedName name="MTOTVERBA_1">#REF!</definedName>
    <definedName name="MULT" localSheetId="11">'[24]BAIXO GUANDU ITAIMBE'!#REF!</definedName>
    <definedName name="MULT" localSheetId="14">#REF!</definedName>
    <definedName name="MULT">#REF!</definedName>
    <definedName name="MULT_2" localSheetId="11">'[10]BAIXO GUANDU ITAIMBE'!#REF!</definedName>
    <definedName name="MULT_2">#REF!</definedName>
    <definedName name="N" localSheetId="16">#REF!</definedName>
    <definedName name="N" localSheetId="4">#REF!</definedName>
    <definedName name="N" localSheetId="11">#REF!</definedName>
    <definedName name="N" localSheetId="12">#REF!</definedName>
    <definedName name="N">#REF!</definedName>
    <definedName name="N__EPC" localSheetId="11">#REF!</definedName>
    <definedName name="N__EPC">#REF!</definedName>
    <definedName name="nb" localSheetId="16" hidden="1">{#N/A,#N/A,FALSE,"MO (2)"}</definedName>
    <definedName name="nb" localSheetId="10" hidden="1">{#N/A,#N/A,FALSE,"MO (2)"}</definedName>
    <definedName name="nb" localSheetId="11" hidden="1">{#N/A,#N/A,FALSE,"MO (2)"}</definedName>
    <definedName name="nb" localSheetId="2" hidden="1">{#N/A,#N/A,FALSE,"MO (2)"}</definedName>
    <definedName name="nb" hidden="1">{#N/A,#N/A,FALSE,"MO (2)"}</definedName>
    <definedName name="nil" localSheetId="11">#REF!</definedName>
    <definedName name="nil">#REF!</definedName>
    <definedName name="NN" localSheetId="16">#REF!</definedName>
    <definedName name="NN" localSheetId="11">#REF!</definedName>
    <definedName name="NN">#REF!</definedName>
    <definedName name="NOME">#N/A</definedName>
    <definedName name="NOME1" localSheetId="16">#REF!</definedName>
    <definedName name="NOME1" localSheetId="10">#REF!</definedName>
    <definedName name="NOME1" localSheetId="11">#REF!</definedName>
    <definedName name="NOME1">#REF!</definedName>
    <definedName name="NOME1_6" localSheetId="16">#REF!</definedName>
    <definedName name="NOME1_6" localSheetId="11">#REF!</definedName>
    <definedName name="NOME1_6">#REF!</definedName>
    <definedName name="Novo" localSheetId="16">#REF!</definedName>
    <definedName name="Novo" localSheetId="11">#REF!</definedName>
    <definedName name="Novo">#REF!</definedName>
    <definedName name="OBJETIVO" localSheetId="11">[11]Plan1!$A$2:$A$7</definedName>
    <definedName name="OBJETIVO" localSheetId="1">#REF!</definedName>
    <definedName name="OBJETIVO" localSheetId="2">#REF!</definedName>
    <definedName name="OBJETIVO">#REF!</definedName>
    <definedName name="OBRA" localSheetId="16">#REF!</definedName>
    <definedName name="OBRA" localSheetId="10">#REF!</definedName>
    <definedName name="OBRA" localSheetId="11">#REF!</definedName>
    <definedName name="OBRA" localSheetId="1">#REF!</definedName>
    <definedName name="OBRA" localSheetId="2">#REF!</definedName>
    <definedName name="OBRA">#REF!</definedName>
    <definedName name="OCUPACAO" localSheetId="11">[11]Plan1!$A$153:$A$158</definedName>
    <definedName name="OCUPACAO" localSheetId="1">#REF!</definedName>
    <definedName name="OCUPACAO" localSheetId="2">#REF!</definedName>
    <definedName name="OCUPACAO">#REF!</definedName>
    <definedName name="OFERTAS" localSheetId="11">[11]Plan1!$A$175:$A$179</definedName>
    <definedName name="OFERTAS" localSheetId="1">#REF!</definedName>
    <definedName name="OFERTAS" localSheetId="2">#REF!</definedName>
    <definedName name="OFERTAS">#REF!</definedName>
    <definedName name="oh" localSheetId="16">#REF!</definedName>
    <definedName name="oh" localSheetId="4">#REF!</definedName>
    <definedName name="oh" localSheetId="11">#REF!</definedName>
    <definedName name="oh" localSheetId="12">#REF!</definedName>
    <definedName name="oh">#REF!</definedName>
    <definedName name="Ok" localSheetId="16">#REF!</definedName>
    <definedName name="Ok" localSheetId="11">#REF!</definedName>
    <definedName name="Ok">#REF!</definedName>
    <definedName name="onde" localSheetId="11">'[10]BAIXO GUANDU ITAIMBE'!#REF!</definedName>
    <definedName name="onde" localSheetId="1">#REF!</definedName>
    <definedName name="onde" localSheetId="2">#REF!</definedName>
    <definedName name="onde">#REF!</definedName>
    <definedName name="opções">#REF!</definedName>
    <definedName name="Orçamento" localSheetId="16">#REF!</definedName>
    <definedName name="Orçamento" localSheetId="10">#REF!</definedName>
    <definedName name="Orçamento" localSheetId="11">#REF!</definedName>
    <definedName name="Orçamento" localSheetId="1">#REF!</definedName>
    <definedName name="Orçamento" localSheetId="2">#REF!</definedName>
    <definedName name="Orçamento">#REF!</definedName>
    <definedName name="Orçamento_Básico" localSheetId="16">#REF!</definedName>
    <definedName name="Orçamento_Básico" localSheetId="11">#REF!</definedName>
    <definedName name="Orçamento_Básico">#REF!</definedName>
    <definedName name="p" localSheetId="16">#REF!</definedName>
    <definedName name="p" localSheetId="11">#REF!</definedName>
    <definedName name="p">#REF!</definedName>
    <definedName name="PADRAO_ACABAMENTO" localSheetId="11">[11]Plan1!$A$126:$A$133</definedName>
    <definedName name="PADRAO_ACABAMENTO" localSheetId="1">#REF!</definedName>
    <definedName name="PADRAO_ACABAMENTO" localSheetId="2">#REF!</definedName>
    <definedName name="PADRAO_ACABAMENTO">#REF!</definedName>
    <definedName name="PADRAO_CONST_PREDOM" localSheetId="11">[11]Plan1!$A$21:$A$25</definedName>
    <definedName name="PADRAO_CONST_PREDOM" localSheetId="1">#REF!</definedName>
    <definedName name="PADRAO_CONST_PREDOM" localSheetId="2">#REF!</definedName>
    <definedName name="PADRAO_CONST_PREDOM">#REF!</definedName>
    <definedName name="PARALELO" localSheetId="16">#REF!</definedName>
    <definedName name="PARALELO" localSheetId="10">#REF!</definedName>
    <definedName name="PARALELO" localSheetId="11">#REF!</definedName>
    <definedName name="PARALELO" localSheetId="1">#REF!</definedName>
    <definedName name="PARALELO" localSheetId="2">#REF!</definedName>
    <definedName name="PARALELO">#REF!</definedName>
    <definedName name="PARALELO_1" localSheetId="16">#REF!</definedName>
    <definedName name="PARALELO_1" localSheetId="11">#REF!</definedName>
    <definedName name="PARALELO_1">#REF!</definedName>
    <definedName name="Parcial" localSheetId="16">#REF!</definedName>
    <definedName name="Parcial" localSheetId="11">#REF!</definedName>
    <definedName name="Parcial">#REF!</definedName>
    <definedName name="PassaExtenso">"#NAME!PassaExtenso"</definedName>
    <definedName name="PASSARELAS" localSheetId="11">'[3]Bm 8'!#REF!</definedName>
    <definedName name="PASSARELAS">#REF!</definedName>
    <definedName name="PAULO" localSheetId="16">#REF!</definedName>
    <definedName name="PAULO" localSheetId="4">#REF!</definedName>
    <definedName name="PAULO" localSheetId="11">#REF!</definedName>
    <definedName name="PAULO" localSheetId="12">#REF!</definedName>
    <definedName name="PAULO">#REF!</definedName>
    <definedName name="pav" localSheetId="16">#REF!</definedName>
    <definedName name="pav" localSheetId="11">#REF!</definedName>
    <definedName name="pav">#REF!</definedName>
    <definedName name="PAVIM" localSheetId="16">#REF!</definedName>
    <definedName name="PAVIM" localSheetId="4">#REF!</definedName>
    <definedName name="PAVIM" localSheetId="11">#REF!</definedName>
    <definedName name="PAVIM" localSheetId="12">#REF!</definedName>
    <definedName name="PAVIM">#REF!</definedName>
    <definedName name="PAVIM_17" localSheetId="16">#REF!</definedName>
    <definedName name="PAVIM_17" localSheetId="4">#REF!</definedName>
    <definedName name="PAVIM_17" localSheetId="11">#REF!</definedName>
    <definedName name="PAVIM_17" localSheetId="12">#REF!</definedName>
    <definedName name="PAVIM_17">#REF!</definedName>
    <definedName name="PAVIM_8" localSheetId="16">#REF!</definedName>
    <definedName name="PAVIM_8" localSheetId="11">#REF!</definedName>
    <definedName name="PAVIM_8">#REF!</definedName>
    <definedName name="pavimen" localSheetId="16">#REF!</definedName>
    <definedName name="pavimen" localSheetId="11">#REF!</definedName>
    <definedName name="pavimen">#REF!</definedName>
    <definedName name="paviment" localSheetId="16">#REF!</definedName>
    <definedName name="paviment" localSheetId="11">#REF!</definedName>
    <definedName name="paviment">#REF!</definedName>
    <definedName name="pelicano" localSheetId="11">#REF!,#REF!</definedName>
    <definedName name="pelicano">#REF!,#REF!</definedName>
    <definedName name="pEZZIN" localSheetId="16">#REF!</definedName>
    <definedName name="pEZZIN" localSheetId="10">#REF!</definedName>
    <definedName name="pEZZIN" localSheetId="11">#REF!</definedName>
    <definedName name="pEZZIN">#REF!</definedName>
    <definedName name="pinheiros" localSheetId="10">#REF!,#REF!</definedName>
    <definedName name="pinheiros" localSheetId="11">#REF!,#REF!</definedName>
    <definedName name="pinheiros">#REF!,#REF!</definedName>
    <definedName name="PISOS" localSheetId="11">[11]Plan1!$A$111:$A$120</definedName>
    <definedName name="PISOS" localSheetId="1">#REF!</definedName>
    <definedName name="PISOS" localSheetId="2">#REF!</definedName>
    <definedName name="PISOS">#REF!</definedName>
    <definedName name="pl" localSheetId="10">#REF!,#REF!</definedName>
    <definedName name="pl" localSheetId="11">#REF!,#REF!</definedName>
    <definedName name="pl">#REF!,#REF!</definedName>
    <definedName name="Plan" localSheetId="16">#REF!</definedName>
    <definedName name="Plan" localSheetId="10">#REF!</definedName>
    <definedName name="Plan" localSheetId="11">#REF!</definedName>
    <definedName name="Plan" localSheetId="1">#REF!</definedName>
    <definedName name="Plan" localSheetId="2">#REF!</definedName>
    <definedName name="Plan">#REF!</definedName>
    <definedName name="PLANILHA" localSheetId="16">#REF!</definedName>
    <definedName name="PLANILHA" localSheetId="11">#REF!</definedName>
    <definedName name="PLANILHA">#REF!</definedName>
    <definedName name="POOO" localSheetId="16">#REF!</definedName>
    <definedName name="POOO" localSheetId="11">#REF!</definedName>
    <definedName name="POOO">#REF!</definedName>
    <definedName name="POSICAO" localSheetId="11">[11]Plan1!$A$87:$A$93</definedName>
    <definedName name="POSICAO" localSheetId="1">#REF!</definedName>
    <definedName name="POSICAO" localSheetId="2">#REF!</definedName>
    <definedName name="POSICAO">#REF!</definedName>
    <definedName name="PREÇO">("$#REF!.$A$1:$H$65198~$#REF!.$A$1:$AMJ$14)))))))")</definedName>
    <definedName name="PRINT_AREA_MI" localSheetId="16">#REF!</definedName>
    <definedName name="PRINT_AREA_MI" localSheetId="10">#REF!</definedName>
    <definedName name="PRINT_AREA_MI" localSheetId="11">#REF!</definedName>
    <definedName name="PRINT_AREA_MI" localSheetId="1">#REF!</definedName>
    <definedName name="PRINT_AREA_MI" localSheetId="2">#REF!</definedName>
    <definedName name="PRINT_AREA_MI">#REF!</definedName>
    <definedName name="PRINT_TITLES_MI" localSheetId="16">#REF!</definedName>
    <definedName name="PRINT_TITLES_MI" localSheetId="11">#REF!</definedName>
    <definedName name="PRINT_TITLES_MI">#REF!</definedName>
    <definedName name="PROFISSIONAIS" localSheetId="11">[11]LISTAS!$A$1:$A$13</definedName>
    <definedName name="PROFISSIONAIS" localSheetId="1">#REF!</definedName>
    <definedName name="PROFISSIONAIS" localSheetId="2">#REF!</definedName>
    <definedName name="PROFISSIONAIS">#REF!</definedName>
    <definedName name="PROJETO" localSheetId="11">[4]PLANILHA!#REF!</definedName>
    <definedName name="PROJETO">#REF!</definedName>
    <definedName name="putzjngirla" localSheetId="10">#REF!</definedName>
    <definedName name="putzjngirla" localSheetId="11">#REF!</definedName>
    <definedName name="putzjngirla" localSheetId="12">#REF!</definedName>
    <definedName name="putzjngirla" localSheetId="14">#REF!</definedName>
    <definedName name="putzjngirla">#REF!</definedName>
    <definedName name="Q" localSheetId="16">#REF!</definedName>
    <definedName name="Q" localSheetId="11">#REF!</definedName>
    <definedName name="Q" localSheetId="12">#REF!</definedName>
    <definedName name="Q">#REF!</definedName>
    <definedName name="QQ" localSheetId="16">#REF!</definedName>
    <definedName name="QQ" localSheetId="11">#REF!</definedName>
    <definedName name="QQ">#REF!</definedName>
    <definedName name="Quadra" localSheetId="16" hidden="1">{#N/A,#N/A,FALSE,"MO (2)"}</definedName>
    <definedName name="Quadra" localSheetId="3" hidden="1">{#N/A,#N/A,FALSE,"MO (2)"}</definedName>
    <definedName name="Quadra" localSheetId="10" hidden="1">{#N/A,#N/A,FALSE,"MO (2)"}</definedName>
    <definedName name="Quadra" localSheetId="11" hidden="1">{#N/A,#N/A,FALSE,"MO (2)"}</definedName>
    <definedName name="Quadra" localSheetId="1" hidden="1">{#N/A,#N/A,FALSE,"MO (2)"}</definedName>
    <definedName name="Quadra" localSheetId="2" hidden="1">{#N/A,#N/A,FALSE,"MO (2)"}</definedName>
    <definedName name="Quadra" hidden="1">{#N/A,#N/A,FALSE,"MO (2)"}</definedName>
    <definedName name="Quant." localSheetId="16">#REF!</definedName>
    <definedName name="Quant." localSheetId="10">#REF!</definedName>
    <definedName name="Quant." localSheetId="11">#REF!</definedName>
    <definedName name="Quant." localSheetId="1">#REF!</definedName>
    <definedName name="Quant." localSheetId="2">#REF!</definedName>
    <definedName name="Quant.">#REF!</definedName>
    <definedName name="Quantidades" localSheetId="16" hidden="1">{#N/A,#N/A,FALSE,"MO (2)"}</definedName>
    <definedName name="Quantidades" localSheetId="3" hidden="1">{#N/A,#N/A,FALSE,"MO (2)"}</definedName>
    <definedName name="Quantidades" localSheetId="10" hidden="1">{#N/A,#N/A,FALSE,"MO (2)"}</definedName>
    <definedName name="Quantidades" localSheetId="11" hidden="1">{#N/A,#N/A,FALSE,"MO (2)"}</definedName>
    <definedName name="Quantidades" localSheetId="1" hidden="1">{#N/A,#N/A,FALSE,"MO (2)"}</definedName>
    <definedName name="Quantidades" localSheetId="2" hidden="1">{#N/A,#N/A,FALSE,"MO (2)"}</definedName>
    <definedName name="Quantidades" hidden="1">{#N/A,#N/A,FALSE,"MO (2)"}</definedName>
    <definedName name="quebGYmkknd" localSheetId="10">#REF!</definedName>
    <definedName name="quebGYmkknd" localSheetId="11">#REF!</definedName>
    <definedName name="quebGYmkknd" localSheetId="14">#REF!</definedName>
    <definedName name="quebGYmkknd">#REF!</definedName>
    <definedName name="QUELI" localSheetId="16">#REF!</definedName>
    <definedName name="QUELI" localSheetId="11">#REF!</definedName>
    <definedName name="QUELI">#REF!</definedName>
    <definedName name="qwer" localSheetId="16">#REF!</definedName>
    <definedName name="qwer" localSheetId="11">#REF!</definedName>
    <definedName name="qwer" localSheetId="1">#REF!</definedName>
    <definedName name="qwer" localSheetId="2">#REF!</definedName>
    <definedName name="qwer">#REF!</definedName>
    <definedName name="RAH" localSheetId="16">#REF!</definedName>
    <definedName name="RAH" localSheetId="11">#REF!</definedName>
    <definedName name="RAH">#REF!</definedName>
    <definedName name="RAH_1" localSheetId="16">#REF!</definedName>
    <definedName name="RAH_1" localSheetId="11">#REF!</definedName>
    <definedName name="RAH_1">#REF!</definedName>
    <definedName name="RE" localSheetId="16">#REF!</definedName>
    <definedName name="RE" localSheetId="11">#REF!</definedName>
    <definedName name="RE">#REF!</definedName>
    <definedName name="REATERRO" localSheetId="16">#REF!</definedName>
    <definedName name="REATERRO" localSheetId="11">#REF!</definedName>
    <definedName name="REATERRO">#REF!</definedName>
    <definedName name="REATERRO_DE_VALAS_COMPACTADO_MECANICAMENTE" localSheetId="11">#REF!</definedName>
    <definedName name="REATERRO_DE_VALAS_COMPACTADO_MECANICAMENTE">#REF!</definedName>
    <definedName name="rec" localSheetId="11">#REF!,#REF!</definedName>
    <definedName name="rec">#REF!,#REF!</definedName>
    <definedName name="REC.ATE." localSheetId="11">[13]MEMORIAL!#REF!</definedName>
    <definedName name="REC.ATE.">#REF!</definedName>
    <definedName name="recuper" localSheetId="10">#REF!,#REF!</definedName>
    <definedName name="recuper" localSheetId="11">#REF!,#REF!</definedName>
    <definedName name="recuper">#REF!,#REF!</definedName>
    <definedName name="REFORMA" localSheetId="11">[11]Plan1!$A$149:$A$152</definedName>
    <definedName name="REFORMA" localSheetId="1">#REF!</definedName>
    <definedName name="REFORMA" localSheetId="2">#REF!</definedName>
    <definedName name="REFORMA">#REF!</definedName>
    <definedName name="REGISTRO" localSheetId="16">#REF!</definedName>
    <definedName name="REGISTRO" localSheetId="10">#REF!</definedName>
    <definedName name="REGISTRO" localSheetId="11">#REF!</definedName>
    <definedName name="REGISTRO" localSheetId="14">#REF!</definedName>
    <definedName name="REGISTRO">#REF!</definedName>
    <definedName name="rere" localSheetId="11">#REF!</definedName>
    <definedName name="rere">#REF!</definedName>
    <definedName name="RES" localSheetId="16">#REF!</definedName>
    <definedName name="RES" localSheetId="11">#REF!</definedName>
    <definedName name="RES" localSheetId="1">#REF!</definedName>
    <definedName name="RES" localSheetId="2">#REF!</definedName>
    <definedName name="RES">#REF!</definedName>
    <definedName name="RESTRICOES" localSheetId="11">[11]Plan1!$A$38:$A$43</definedName>
    <definedName name="RESTRICOES" localSheetId="1">#REF!</definedName>
    <definedName name="RESTRICOES" localSheetId="2">#REF!</definedName>
    <definedName name="RESTRICOES">#REF!</definedName>
    <definedName name="rfv" localSheetId="16">#REF!</definedName>
    <definedName name="rfv" localSheetId="10">#REF!</definedName>
    <definedName name="rfv" localSheetId="11">#REF!</definedName>
    <definedName name="rfv" localSheetId="1">#REF!</definedName>
    <definedName name="rfv" localSheetId="2">#REF!</definedName>
    <definedName name="rfv">#REF!</definedName>
    <definedName name="rfv_1" localSheetId="16">#REF!</definedName>
    <definedName name="rfv_1" localSheetId="11">#REF!</definedName>
    <definedName name="rfv_1">#REF!</definedName>
    <definedName name="rocha" localSheetId="16">#REF!</definedName>
    <definedName name="rocha" localSheetId="11">#REF!</definedName>
    <definedName name="rocha">#REF!</definedName>
    <definedName name="rpa" localSheetId="16">#REF!</definedName>
    <definedName name="rpa" localSheetId="11">#REF!</definedName>
    <definedName name="rpa">#REF!</definedName>
    <definedName name="rpa_1" localSheetId="16">#REF!</definedName>
    <definedName name="rpa_1" localSheetId="11">#REF!</definedName>
    <definedName name="rpa_1">#REF!</definedName>
    <definedName name="rpb" localSheetId="16">#REF!</definedName>
    <definedName name="rpb" localSheetId="11">#REF!</definedName>
    <definedName name="rpb">#REF!</definedName>
    <definedName name="rpb_1" localSheetId="16">#REF!</definedName>
    <definedName name="rpb_1" localSheetId="11">#REF!</definedName>
    <definedName name="rpb_1">#REF!</definedName>
    <definedName name="rpp" localSheetId="16">#REF!</definedName>
    <definedName name="rpp" localSheetId="11">#REF!</definedName>
    <definedName name="rpp">#REF!</definedName>
    <definedName name="rpp_1" localSheetId="16">#REF!</definedName>
    <definedName name="rpp_1" localSheetId="11">#REF!</definedName>
    <definedName name="rpp_1">#REF!</definedName>
    <definedName name="rr" localSheetId="16">#REF!</definedName>
    <definedName name="rr" localSheetId="11">#REF!</definedName>
    <definedName name="rr">#REF!</definedName>
    <definedName name="rrrrrrr" localSheetId="16">#REF!</definedName>
    <definedName name="rrrrrrr" localSheetId="11">#REF!</definedName>
    <definedName name="rrrrrrr">#REF!</definedName>
    <definedName name="rwgnkd" localSheetId="16">#REF!</definedName>
    <definedName name="rwgnkd" localSheetId="11">#REF!</definedName>
    <definedName name="rwgnkd">#REF!</definedName>
    <definedName name="s" localSheetId="16">#REF!</definedName>
    <definedName name="s" localSheetId="11">#REF!</definedName>
    <definedName name="s">#REF!</definedName>
    <definedName name="saconhyuu5977962" localSheetId="11">#REF!</definedName>
    <definedName name="saconhyuu5977962">#REF!</definedName>
    <definedName name="SAD" localSheetId="16">#REF!</definedName>
    <definedName name="SAD" localSheetId="11">#REF!</definedName>
    <definedName name="SAD">#REF!</definedName>
    <definedName name="SCO" localSheetId="11">#REF!</definedName>
    <definedName name="SCO">#REF!</definedName>
    <definedName name="SCOD02.010.0020" localSheetId="16">#REF!</definedName>
    <definedName name="SCOD02.010.0020" localSheetId="11">#REF!</definedName>
    <definedName name="SCOD02.010.0020">#REF!</definedName>
    <definedName name="SCOD02.010.0020_1" localSheetId="16">#REF!</definedName>
    <definedName name="SCOD02.010.0020_1" localSheetId="11">#REF!</definedName>
    <definedName name="SCOD02.010.0020_1">#REF!</definedName>
    <definedName name="SCOD02.010.0050" localSheetId="11">[21]MEMORIAL!#REF!</definedName>
    <definedName name="SCOD02.010.0050">#REF!</definedName>
    <definedName name="SCOD02.010.0050_1" localSheetId="11">[22]MEMORIAL!#REF!</definedName>
    <definedName name="SCOD02.010.0050_1">#REF!</definedName>
    <definedName name="SCOD02.010.0065" localSheetId="11">[21]MEMORIAL!#REF!</definedName>
    <definedName name="SCOD02.010.0065">#REF!</definedName>
    <definedName name="SCOD02.010.0065_1" localSheetId="11">[22]MEMORIAL!#REF!</definedName>
    <definedName name="SCOD02.010.0065_1">#REF!</definedName>
    <definedName name="SCOD02.010.0130" localSheetId="11">[21]MEMORIAL!#REF!</definedName>
    <definedName name="SCOD02.010.0130">#REF!</definedName>
    <definedName name="SCOD02.010.0130_1" localSheetId="11">[22]MEMORIAL!#REF!</definedName>
    <definedName name="SCOD02.010.0130_1">#REF!</definedName>
    <definedName name="SCOD03.010.0020" localSheetId="11">[21]MEMORIAL!#REF!</definedName>
    <definedName name="SCOD03.010.0020">#REF!</definedName>
    <definedName name="SCOD03.010.0020_1" localSheetId="11">[22]MEMORIAL!#REF!</definedName>
    <definedName name="SCOD03.010.0020_1">#REF!</definedName>
    <definedName name="SCOD03.010.0025" localSheetId="11">[21]MEMORIAL!#REF!</definedName>
    <definedName name="SCOD03.010.0025">#REF!</definedName>
    <definedName name="SCOD03.010.0025_1" localSheetId="11">[22]MEMORIAL!#REF!</definedName>
    <definedName name="SCOD03.010.0025_1">#REF!</definedName>
    <definedName name="SCOD03.010.0040" localSheetId="11">[21]MEMORIAL!#REF!</definedName>
    <definedName name="SCOD03.010.0040">#REF!</definedName>
    <definedName name="SCOD03.010.0040_1" localSheetId="11">[22]MEMORIAL!#REF!</definedName>
    <definedName name="SCOD03.010.0040_1">#REF!</definedName>
    <definedName name="SCOD03.010.0050" localSheetId="11">[21]MEMORIAL!#REF!</definedName>
    <definedName name="SCOD03.010.0050">#REF!</definedName>
    <definedName name="SCOD03.010.0050_1" localSheetId="11">[22]MEMORIAL!#REF!</definedName>
    <definedName name="SCOD03.010.0050_1">#REF!</definedName>
    <definedName name="SCOD03.010.0100" localSheetId="11">[21]MEMORIAL!#REF!</definedName>
    <definedName name="SCOD03.010.0100">#REF!</definedName>
    <definedName name="SCOD03.010.0100_1" localSheetId="11">[22]MEMORIAL!#REF!</definedName>
    <definedName name="SCOD03.010.0100_1">#REF!</definedName>
    <definedName name="SCOD03.010.0180" localSheetId="11">[21]MEMORIAL!#REF!</definedName>
    <definedName name="SCOD03.010.0180">#REF!</definedName>
    <definedName name="SCOD03.010.0180_1" localSheetId="11">[22]MEMORIAL!#REF!</definedName>
    <definedName name="SCOD03.010.0180_1">#REF!</definedName>
    <definedName name="SCOD03.010.0200" localSheetId="11">[21]MEMORIAL!#REF!</definedName>
    <definedName name="SCOD03.010.0200">#REF!</definedName>
    <definedName name="SCOD03.010.0200_1" localSheetId="11">[22]MEMORIAL!#REF!</definedName>
    <definedName name="SCOD03.010.0200_1">#REF!</definedName>
    <definedName name="SCOD04.010.0010" localSheetId="11">[13]MEMORIAL!#REF!</definedName>
    <definedName name="SCOD04.010.0010">#REF!</definedName>
    <definedName name="SCOD04.010.0010_1" localSheetId="11">[13]MEMORIAL!#REF!</definedName>
    <definedName name="SCOD04.010.0010_1">#REF!</definedName>
    <definedName name="SCOD04.010.0040" localSheetId="11">[13]MEMORIAL!#REF!</definedName>
    <definedName name="SCOD04.010.0040">#REF!</definedName>
    <definedName name="SCOD04.010.0040_1" localSheetId="11">[13]MEMORIAL!#REF!</definedName>
    <definedName name="SCOD04.010.0040_1">#REF!</definedName>
    <definedName name="SCOD04.010.0070" localSheetId="11">[13]MEMORIAL!#REF!</definedName>
    <definedName name="SCOD04.010.0070">#REF!</definedName>
    <definedName name="SCOD04.010.0070_1" localSheetId="11">[13]MEMORIAL!#REF!</definedName>
    <definedName name="SCOD04.010.0070_1">#REF!</definedName>
    <definedName name="SCOD04.010.0150" localSheetId="11">[13]MEMORIAL!#REF!</definedName>
    <definedName name="SCOD04.010.0150">#REF!</definedName>
    <definedName name="SCOD04.010.0150_1" localSheetId="11">[13]MEMORIAL!#REF!</definedName>
    <definedName name="SCOD04.010.0150_1">#REF!</definedName>
    <definedName name="SCOD04.010.0190" localSheetId="11">[13]MEMORIAL!#REF!</definedName>
    <definedName name="SCOD04.010.0190">#REF!</definedName>
    <definedName name="SCOD04.010.0190_1" localSheetId="11">[13]MEMORIAL!#REF!</definedName>
    <definedName name="SCOD04.010.0190_1">#REF!</definedName>
    <definedName name="SCOD04.010.0200" localSheetId="11">[13]MEMORIAL!#REF!</definedName>
    <definedName name="SCOD04.010.0200">#REF!</definedName>
    <definedName name="SCOD04.010.0200_1" localSheetId="11">[13]MEMORIAL!#REF!</definedName>
    <definedName name="SCOD04.010.0200_1">#REF!</definedName>
    <definedName name="SCOD04.010.0320" localSheetId="11">[21]MEMORIAL!#REF!</definedName>
    <definedName name="SCOD04.010.0320">#REF!</definedName>
    <definedName name="SCOD04.010.0320_1" localSheetId="11">[13]MEMORIAL!#REF!</definedName>
    <definedName name="SCOD04.010.0320_1">#REF!</definedName>
    <definedName name="SCOD04.010.0330" localSheetId="11">[21]MEMORIAL!#REF!</definedName>
    <definedName name="SCOD04.010.0330">#REF!</definedName>
    <definedName name="SCOD04.010.0330_1" localSheetId="11">[13]MEMORIAL!#REF!</definedName>
    <definedName name="SCOD04.010.0330_1">#REF!</definedName>
    <definedName name="SCOD04.010.0371" localSheetId="11">[21]MEMORIAL!#REF!</definedName>
    <definedName name="SCOD04.010.0371">#REF!</definedName>
    <definedName name="SCOD04.010.0371_1" localSheetId="11">[22]MEMORIAL!#REF!</definedName>
    <definedName name="SCOD04.010.0371_1">#REF!</definedName>
    <definedName name="SCOD04.010.0375" localSheetId="11">[21]MEMORIAL!#REF!</definedName>
    <definedName name="SCOD04.010.0375">#REF!</definedName>
    <definedName name="SCOD04.010.0375_1" localSheetId="11">[13]MEMORIAL!#REF!</definedName>
    <definedName name="SCOD04.010.0375_1">#REF!</definedName>
    <definedName name="SCOD04.010.0395" localSheetId="11">[21]MEMORIAL!#REF!</definedName>
    <definedName name="SCOD04.010.0395">#REF!</definedName>
    <definedName name="SCOD04.010.0395_1" localSheetId="11">[13]MEMORIAL!#REF!</definedName>
    <definedName name="SCOD04.010.0395_1">#REF!</definedName>
    <definedName name="SCOD04.010.0420" localSheetId="11">[13]MEMORIAL!#REF!</definedName>
    <definedName name="SCOD04.010.0420">#REF!</definedName>
    <definedName name="SCOD04.010.0420_1" localSheetId="11">[13]MEMORIAL!#REF!</definedName>
    <definedName name="SCOD04.010.0420_1">#REF!</definedName>
    <definedName name="SCOD04.010.0430" localSheetId="11">[13]MEMORIAL!#REF!</definedName>
    <definedName name="SCOD04.010.0430">#REF!</definedName>
    <definedName name="SCOD04.010.0430_1" localSheetId="11">[13]MEMORIAL!#REF!</definedName>
    <definedName name="SCOD04.010.0430_1">#REF!</definedName>
    <definedName name="SCOD05.010.0020" localSheetId="11">[21]MEMORIAL!#REF!</definedName>
    <definedName name="SCOD05.010.0020">#REF!</definedName>
    <definedName name="SCOD05.010.0020_1" localSheetId="11">[13]MEMORIAL!#REF!</definedName>
    <definedName name="SCOD05.010.0020_1">#REF!</definedName>
    <definedName name="SCOD08.010.0010" localSheetId="11">[13]MEMORIAL!#REF!</definedName>
    <definedName name="SCOD08.010.0010">#REF!</definedName>
    <definedName name="SCOD08.010.0010_1" localSheetId="11">[13]MEMORIAL!#REF!</definedName>
    <definedName name="SCOD08.010.0010_1">#REF!</definedName>
    <definedName name="SCOD08.010.0040" localSheetId="11">[13]MEMORIAL!#REF!</definedName>
    <definedName name="SCOD08.010.0040">#REF!</definedName>
    <definedName name="SCOD08.010.0040_1" localSheetId="11">[13]MEMORIAL!#REF!</definedName>
    <definedName name="SCOD08.010.0040_1">#REF!</definedName>
    <definedName name="SCOD08.010.0060" localSheetId="11">[21]MEMORIAL!#REF!</definedName>
    <definedName name="SCOD08.010.0060">#REF!</definedName>
    <definedName name="SCOD08.010.0060_1" localSheetId="11">[22]MEMORIAL!#REF!</definedName>
    <definedName name="SCOD08.010.0060_1">#REF!</definedName>
    <definedName name="SCOD08.010.0130" localSheetId="11">[13]MEMORIAL!#REF!</definedName>
    <definedName name="SCOD08.010.0130">#REF!</definedName>
    <definedName name="SCOD08.010.0130_1" localSheetId="11">[13]MEMORIAL!#REF!</definedName>
    <definedName name="SCOD08.010.0130_1">#REF!</definedName>
    <definedName name="SCOD08.010.0135" localSheetId="11">[21]MEMORIAL!#REF!</definedName>
    <definedName name="SCOD08.010.0135">#REF!</definedName>
    <definedName name="SCOD08.010.0135_1" localSheetId="11">[13]MEMORIAL!#REF!</definedName>
    <definedName name="SCOD08.010.0135_1">#REF!</definedName>
    <definedName name="SCOD08.010.0270" localSheetId="11">[21]MEMORIAL!#REF!</definedName>
    <definedName name="SCOD08.010.0270">#REF!</definedName>
    <definedName name="SCOD08.010.0270_1" localSheetId="11">[13]MEMORIAL!#REF!</definedName>
    <definedName name="SCOD08.010.0270_1">#REF!</definedName>
    <definedName name="SCOD09.010.0060" localSheetId="11">[21]MEMORIAL!#REF!</definedName>
    <definedName name="SCOD09.010.0060">#REF!</definedName>
    <definedName name="SCOD09.010.0060_1" localSheetId="11">[13]MEMORIAL!#REF!</definedName>
    <definedName name="SCOD09.010.0060_1">#REF!</definedName>
    <definedName name="SCOD09.010.0240" localSheetId="11">[21]MEMORIAL!#REF!</definedName>
    <definedName name="SCOD09.010.0240">#REF!</definedName>
    <definedName name="SCOD09.010.0240_1" localSheetId="11">[22]MEMORIAL!#REF!</definedName>
    <definedName name="SCOD09.010.0240_1">#REF!</definedName>
    <definedName name="SCOD09.010.0430" localSheetId="11">[21]MEMORIAL!#REF!</definedName>
    <definedName name="SCOD09.010.0430">#REF!</definedName>
    <definedName name="SCOD09.010.0430_1" localSheetId="11">[22]MEMORIAL!#REF!</definedName>
    <definedName name="SCOD09.010.0430_1">#REF!</definedName>
    <definedName name="SCOD09.010.0470" localSheetId="11">[21]MEMORIAL!#REF!</definedName>
    <definedName name="SCOD09.010.0470">#REF!</definedName>
    <definedName name="SCOD09.010.0470_1" localSheetId="11">[22]MEMORIAL!#REF!</definedName>
    <definedName name="SCOD09.010.0470_1">#REF!</definedName>
    <definedName name="SCOD09.010.0700" localSheetId="11">[21]MEMORIAL!#REF!</definedName>
    <definedName name="SCOD09.010.0700">#REF!</definedName>
    <definedName name="SCOD09.010.0700_1" localSheetId="11">[22]MEMORIAL!#REF!</definedName>
    <definedName name="SCOD09.010.0700_1">#REF!</definedName>
    <definedName name="SCOD10.010.0140" localSheetId="11">[21]MEMORIAL!#REF!</definedName>
    <definedName name="SCOD10.010.0140">#REF!</definedName>
    <definedName name="SCOD10.010.0140_1" localSheetId="11">[13]MEMORIAL!#REF!</definedName>
    <definedName name="SCOD10.010.0140_1">#REF!</definedName>
    <definedName name="SCOD10.010.0180" localSheetId="11">[21]MEMORIAL!#REF!</definedName>
    <definedName name="SCOD10.010.0180">#REF!</definedName>
    <definedName name="SCOD10.010.0180_1" localSheetId="11">[13]MEMORIAL!#REF!</definedName>
    <definedName name="SCOD10.010.0180_1">#REF!</definedName>
    <definedName name="SCOD10.010.0270" localSheetId="11">[21]MEMORIAL!#REF!</definedName>
    <definedName name="SCOD10.010.0270">#REF!</definedName>
    <definedName name="SCOD10.010.0270_1" localSheetId="11">[22]MEMORIAL!#REF!</definedName>
    <definedName name="SCOD10.010.0270_1">#REF!</definedName>
    <definedName name="SCOD10.010.0280" localSheetId="11">[21]MEMORIAL!#REF!</definedName>
    <definedName name="SCOD10.010.0280">#REF!</definedName>
    <definedName name="SCOD10.010.0280_1" localSheetId="11">[22]MEMORIAL!#REF!</definedName>
    <definedName name="SCOD10.010.0280_1">#REF!</definedName>
    <definedName name="SCOD10.010.0298" localSheetId="11">[13]MEMORIAL!#REF!</definedName>
    <definedName name="SCOD10.010.0298">#REF!</definedName>
    <definedName name="SCOD10.010.0298_1" localSheetId="11">[13]MEMORIAL!#REF!</definedName>
    <definedName name="SCOD10.010.0298_1">#REF!</definedName>
    <definedName name="SCOD10.010.0307" localSheetId="11">[21]MEMORIAL!#REF!</definedName>
    <definedName name="SCOD10.010.0307">#REF!</definedName>
    <definedName name="SCOD10.010.0307_1" localSheetId="11">[22]MEMORIAL!#REF!</definedName>
    <definedName name="SCOD10.010.0307_1">#REF!</definedName>
    <definedName name="SCOD10.010.0308" localSheetId="11">[21]MEMORIAL!#REF!</definedName>
    <definedName name="SCOD10.010.0308">#REF!</definedName>
    <definedName name="SCOD10.010.0308_1" localSheetId="11">[22]MEMORIAL!#REF!</definedName>
    <definedName name="SCOD10.010.0308_1">#REF!</definedName>
    <definedName name="SCOD10.010.0310" localSheetId="11">[21]MEMORIAL!#REF!</definedName>
    <definedName name="SCOD10.010.0310">#REF!</definedName>
    <definedName name="SCOD10.010.0310_1" localSheetId="11">[13]MEMORIAL!#REF!</definedName>
    <definedName name="SCOD10.010.0310_1">#REF!</definedName>
    <definedName name="SCOD10.010.0330" localSheetId="11">[21]MEMORIAL!#REF!</definedName>
    <definedName name="SCOD10.010.0330">#REF!</definedName>
    <definedName name="SCOD10.010.0330_1" localSheetId="11">[22]MEMORIAL!#REF!</definedName>
    <definedName name="SCOD10.010.0330_1">#REF!</definedName>
    <definedName name="SCOD10.010.0333" localSheetId="11">[21]MEMORIAL!#REF!</definedName>
    <definedName name="SCOD10.010.0333">#REF!</definedName>
    <definedName name="SCOD10.010.0333_1" localSheetId="11">[22]MEMORIAL!#REF!</definedName>
    <definedName name="SCOD10.010.0333_1">#REF!</definedName>
    <definedName name="SCOD10.010.0380" localSheetId="11">[21]MEMORIAL!#REF!</definedName>
    <definedName name="SCOD10.010.0380">#REF!</definedName>
    <definedName name="SCOD10.010.0380_1" localSheetId="11">[22]MEMORIAL!#REF!</definedName>
    <definedName name="SCOD10.010.0380_1">#REF!</definedName>
    <definedName name="SCOD10.010.0400" localSheetId="11">[21]MEMORIAL!#REF!</definedName>
    <definedName name="SCOD10.010.0400">#REF!</definedName>
    <definedName name="SCOD10.010.0400_1" localSheetId="11">[22]MEMORIAL!#REF!</definedName>
    <definedName name="SCOD10.010.0400_1">#REF!</definedName>
    <definedName name="SCOD10.010.0431" localSheetId="11">[21]MEMORIAL!#REF!</definedName>
    <definedName name="SCOD10.010.0431">#REF!</definedName>
    <definedName name="SCOD10.010.0431_1" localSheetId="11">[22]MEMORIAL!#REF!</definedName>
    <definedName name="SCOD10.010.0431_1">#REF!</definedName>
    <definedName name="SCOD10.010.1110" localSheetId="11">[13]MEMORIAL!#REF!</definedName>
    <definedName name="SCOD10.010.1110">#REF!</definedName>
    <definedName name="SCOD10.010.1110_1" localSheetId="11">[13]MEMORIAL!#REF!</definedName>
    <definedName name="SCOD10.010.1110_1">#REF!</definedName>
    <definedName name="SCOD12.010.0010" localSheetId="11">[13]MEMORIAL!#REF!</definedName>
    <definedName name="SCOD12.010.0010">#REF!</definedName>
    <definedName name="SCOD12.010.0010_1" localSheetId="11">[13]MEMORIAL!#REF!</definedName>
    <definedName name="SCOD12.010.0010_1">#REF!</definedName>
    <definedName name="SCOD12.010.0060" localSheetId="11">[21]MEMORIAL!#REF!</definedName>
    <definedName name="SCOD12.010.0060">#REF!</definedName>
    <definedName name="SCOD12.010.0060_1" localSheetId="11">[22]MEMORIAL!#REF!</definedName>
    <definedName name="SCOD12.010.0060_1">#REF!</definedName>
    <definedName name="SCOD12.010.0210" localSheetId="11">[21]MEMORIAL!#REF!</definedName>
    <definedName name="SCOD12.010.0210">#REF!</definedName>
    <definedName name="SCOD12.010.0210_1" localSheetId="11">[22]MEMORIAL!#REF!</definedName>
    <definedName name="SCOD12.010.0210_1">#REF!</definedName>
    <definedName name="SCOD12.010.0360" localSheetId="11">[21]MEMORIAL!#REF!</definedName>
    <definedName name="SCOD12.010.0360">#REF!</definedName>
    <definedName name="SCOD12.010.0360_1" localSheetId="11">[22]MEMORIAL!#REF!</definedName>
    <definedName name="SCOD12.010.0360_1">#REF!</definedName>
    <definedName name="SCOD12.010.0550" localSheetId="11">[21]MEMORIAL!#REF!</definedName>
    <definedName name="SCOD12.010.0550">#REF!</definedName>
    <definedName name="SCOD12.010.0550_1" localSheetId="11">[22]MEMORIAL!#REF!</definedName>
    <definedName name="SCOD12.010.0550_1">#REF!</definedName>
    <definedName name="SCOD13.010.0030" localSheetId="11">[21]MEMORIAL!#REF!</definedName>
    <definedName name="SCOD13.010.0030">#REF!</definedName>
    <definedName name="SCOD13.010.0030_1" localSheetId="11">[22]MEMORIAL!#REF!</definedName>
    <definedName name="SCOD13.010.0030_1">#REF!</definedName>
    <definedName name="SCOD13.010.0090" localSheetId="11">[21]MEMORIAL!#REF!</definedName>
    <definedName name="SCOD13.010.0090">#REF!</definedName>
    <definedName name="SCOD13.010.0090_1" localSheetId="11">[22]MEMORIAL!#REF!</definedName>
    <definedName name="SCOD13.010.0090_1">#REF!</definedName>
    <definedName name="SCOD13.010.0100" localSheetId="11">[13]MEMORIAL!#REF!</definedName>
    <definedName name="SCOD13.010.0100">#REF!</definedName>
    <definedName name="SCOD13.010.0100_1" localSheetId="11">[13]MEMORIAL!#REF!</definedName>
    <definedName name="SCOD13.010.0100_1">#REF!</definedName>
    <definedName name="SCOD13.010.0110" localSheetId="11">[21]MEMORIAL!#REF!</definedName>
    <definedName name="SCOD13.010.0110">#REF!</definedName>
    <definedName name="SCOD13.010.0110_1" localSheetId="11">[22]MEMORIAL!#REF!</definedName>
    <definedName name="SCOD13.010.0110_1">#REF!</definedName>
    <definedName name="SCOD13.010.1200" localSheetId="11">[21]MEMORIAL!#REF!</definedName>
    <definedName name="SCOD13.010.1200">#REF!</definedName>
    <definedName name="SCOD13.010.1200_1" localSheetId="11">[22]MEMORIAL!#REF!</definedName>
    <definedName name="SCOD13.010.1200_1">#REF!</definedName>
    <definedName name="SCOD15.010.0010" localSheetId="11">[21]MEMORIAL!#REF!</definedName>
    <definedName name="SCOD15.010.0010">#REF!</definedName>
    <definedName name="SCOD15.010.0010_1" localSheetId="11">[22]MEMORIAL!#REF!</definedName>
    <definedName name="SCOD15.010.0010_1">#REF!</definedName>
    <definedName name="SCOD15.010.0055" localSheetId="11">[21]MEMORIAL!#REF!</definedName>
    <definedName name="SCOD15.010.0055">#REF!</definedName>
    <definedName name="SCOD15.010.0055_1" localSheetId="11">[22]MEMORIAL!#REF!</definedName>
    <definedName name="SCOD15.010.0055_1">#REF!</definedName>
    <definedName name="SCOD15.010.0140" localSheetId="11">[21]MEMORIAL!#REF!</definedName>
    <definedName name="SCOD15.010.0140">#REF!</definedName>
    <definedName name="SCOD15.010.0140_1" localSheetId="11">[22]MEMORIAL!#REF!</definedName>
    <definedName name="SCOD15.010.0140_1">#REF!</definedName>
    <definedName name="SCOD15.010.0181" localSheetId="11">[21]MEMORIAL!#REF!</definedName>
    <definedName name="SCOD15.010.0181">#REF!</definedName>
    <definedName name="SCOD15.010.0181_1" localSheetId="11">[22]MEMORIAL!#REF!</definedName>
    <definedName name="SCOD15.010.0181_1">#REF!</definedName>
    <definedName name="SCOD15.010.0270" localSheetId="11">[21]MEMORIAL!#REF!</definedName>
    <definedName name="SCOD15.010.0270">#REF!</definedName>
    <definedName name="SCOD15.010.0270_1" localSheetId="11">[22]MEMORIAL!#REF!</definedName>
    <definedName name="SCOD15.010.0270_1">#REF!</definedName>
    <definedName name="SCOD15.010.0280" localSheetId="11">[21]MEMORIAL!#REF!</definedName>
    <definedName name="SCOD15.010.0280">#REF!</definedName>
    <definedName name="SCOD15.010.0280_1" localSheetId="11">[13]MEMORIAL!#REF!</definedName>
    <definedName name="SCOD15.010.0280_1">#REF!</definedName>
    <definedName name="SCOD15.010.0290" localSheetId="11">[13]MEMORIAL!#REF!</definedName>
    <definedName name="SCOD15.010.0290">#REF!</definedName>
    <definedName name="SCOD15.010.0290_1" localSheetId="11">[13]MEMORIAL!#REF!</definedName>
    <definedName name="SCOD15.010.0290_1">#REF!</definedName>
    <definedName name="SCOD16.010.0010" localSheetId="11">[21]MEMORIAL!#REF!</definedName>
    <definedName name="SCOD16.010.0010">#REF!</definedName>
    <definedName name="SCOD16.010.0010_1" localSheetId="11">[13]MEMORIAL!#REF!</definedName>
    <definedName name="SCOD16.010.0010_1">#REF!</definedName>
    <definedName name="SCOD16.010.0060" localSheetId="11">[21]MEMORIAL!#REF!</definedName>
    <definedName name="SCOD16.010.0060">#REF!</definedName>
    <definedName name="SCOD16.010.0060_1" localSheetId="11">[22]MEMORIAL!#REF!</definedName>
    <definedName name="SCOD16.010.0060_1">#REF!</definedName>
    <definedName name="SCOD16.010.0110" localSheetId="11">[21]MEMORIAL!#REF!</definedName>
    <definedName name="SCOD16.010.0110">#REF!</definedName>
    <definedName name="SCOD16.010.0110_1" localSheetId="11">[22]MEMORIAL!#REF!</definedName>
    <definedName name="SCOD16.010.0110_1">#REF!</definedName>
    <definedName name="SCOD16.010.0120" localSheetId="11">[21]MEMORIAL!#REF!</definedName>
    <definedName name="SCOD16.010.0120">#REF!</definedName>
    <definedName name="SCOD16.010.0120_1" localSheetId="11">[22]MEMORIAL!#REF!</definedName>
    <definedName name="SCOD16.010.0120_1">#REF!</definedName>
    <definedName name="SCOD16.010.0170" localSheetId="11">[21]MEMORIAL!#REF!</definedName>
    <definedName name="SCOD16.010.0170">#REF!</definedName>
    <definedName name="SCOD16.010.0170_1" localSheetId="11">[22]MEMORIAL!#REF!</definedName>
    <definedName name="SCOD16.010.0170_1">#REF!</definedName>
    <definedName name="SCOD17.010.0080" localSheetId="11">[21]MEMORIAL!#REF!</definedName>
    <definedName name="SCOD17.010.0080">#REF!</definedName>
    <definedName name="SCOD17.010.0080_1" localSheetId="11">[22]MEMORIAL!#REF!</definedName>
    <definedName name="SCOD17.010.0080_1">#REF!</definedName>
    <definedName name="SCOD17.010.0100" localSheetId="11">[13]MEMORIAL!#REF!</definedName>
    <definedName name="SCOD17.010.0100">#REF!</definedName>
    <definedName name="SCOD17.010.0100_1" localSheetId="11">[13]MEMORIAL!#REF!</definedName>
    <definedName name="SCOD17.010.0100_1">#REF!</definedName>
    <definedName name="SCOD17.010.0150" localSheetId="11">[21]MEMORIAL!#REF!</definedName>
    <definedName name="SCOD17.010.0150">#REF!</definedName>
    <definedName name="SCOD17.010.0150_1" localSheetId="11">[22]MEMORIAL!#REF!</definedName>
    <definedName name="SCOD17.010.0150_1">#REF!</definedName>
    <definedName name="SCOD17.010.0290" localSheetId="11">[21]MEMORIAL!#REF!</definedName>
    <definedName name="SCOD17.010.0290">#REF!</definedName>
    <definedName name="SCOD17.010.0290_1" localSheetId="11">[22]MEMORIAL!#REF!</definedName>
    <definedName name="SCOD17.010.0290_1">#REF!</definedName>
    <definedName name="SCOD17.010.0390" localSheetId="11">[21]MEMORIAL!#REF!</definedName>
    <definedName name="SCOD17.010.0390">#REF!</definedName>
    <definedName name="SCOD17.010.0390_1" localSheetId="11">[22]MEMORIAL!#REF!</definedName>
    <definedName name="SCOD17.010.0390_1">#REF!</definedName>
    <definedName name="SCOD17.010.0436" localSheetId="11">[13]MEMORIAL!#REF!</definedName>
    <definedName name="SCOD17.010.0436">#REF!</definedName>
    <definedName name="SCOD17.010.0436_1" localSheetId="11">[13]MEMORIAL!#REF!</definedName>
    <definedName name="SCOD17.010.0436_1">#REF!</definedName>
    <definedName name="SCOD17.010.0437" localSheetId="11">[21]MEMORIAL!#REF!</definedName>
    <definedName name="SCOD17.010.0437">#REF!</definedName>
    <definedName name="SCOD17.010.0437_1" localSheetId="11">[22]MEMORIAL!#REF!</definedName>
    <definedName name="SCOD17.010.0437_1">#REF!</definedName>
    <definedName name="SCOD17.010.0602" localSheetId="11">[21]MEMORIAL!#REF!</definedName>
    <definedName name="SCOD17.010.0602">#REF!</definedName>
    <definedName name="SCOD17.010.0602_1" localSheetId="11">[22]MEMORIAL!#REF!</definedName>
    <definedName name="SCOD17.010.0602_1">#REF!</definedName>
    <definedName name="SCODCOMPOSIÇÃO01" localSheetId="11">[18]MEMORIAL!#REF!</definedName>
    <definedName name="SCODCOMPOSIÇÃO01">#REF!</definedName>
    <definedName name="SCODCOMPOSIÇÃO01A" localSheetId="11">[12]MEMORIAL!#REF!</definedName>
    <definedName name="SCODCOMPOSIÇÃO01A">#REF!</definedName>
    <definedName name="SCODCOMPOSIÇÃO02" localSheetId="11">[12]MEMORIAL!#REF!</definedName>
    <definedName name="SCODCOMPOSIÇÃO02">#REF!</definedName>
    <definedName name="SCODCOTADO01" localSheetId="11">[13]MEMORIAL!#REF!</definedName>
    <definedName name="SCODCOTADO01">#REF!</definedName>
    <definedName name="SCODCOTADO01_1" localSheetId="11">[13]MEMORIAL!#REF!</definedName>
    <definedName name="SCODCOTADO01_1">#REF!</definedName>
    <definedName name="SCODCOTADO02" localSheetId="11">[13]MEMORIAL!#REF!</definedName>
    <definedName name="SCODCOTADO02">#REF!</definedName>
    <definedName name="SCODCOTADO02_1" localSheetId="11">[13]MEMORIAL!#REF!</definedName>
    <definedName name="SCODCOTADO02_1">#REF!</definedName>
    <definedName name="SCODCOTADO03" localSheetId="11">[13]MEMORIAL!#REF!</definedName>
    <definedName name="SCODCOTADO03">#REF!</definedName>
    <definedName name="SCODCOTADO03_1" localSheetId="11">[13]MEMORIAL!#REF!</definedName>
    <definedName name="SCODCOTADO03_1">#REF!</definedName>
    <definedName name="SCODCOTADO04" localSheetId="11">[13]MEMORIAL!#REF!</definedName>
    <definedName name="SCODCOTADO04">#REF!</definedName>
    <definedName name="SCODCOTADO04_1" localSheetId="11">[13]MEMORIAL!#REF!</definedName>
    <definedName name="SCODCOTADO04_1">#REF!</definedName>
    <definedName name="SCODCOTADO05" localSheetId="11">[13]MEMORIAL!#REF!</definedName>
    <definedName name="SCODCOTADO05">#REF!</definedName>
    <definedName name="SCODCOTADO05_1" localSheetId="11">[13]MEMORIAL!#REF!</definedName>
    <definedName name="SCODCOTADO05_1">#REF!</definedName>
    <definedName name="SCODCOTADO06" localSheetId="11">[13]MEMORIAL!#REF!</definedName>
    <definedName name="SCODCOTADO06">#REF!</definedName>
    <definedName name="SCODCOTADO06_1" localSheetId="11">[13]MEMORIAL!#REF!</definedName>
    <definedName name="SCODCOTADO06_1">#REF!</definedName>
    <definedName name="SCODVERBA01" localSheetId="11">[12]MEMORIAL!#REF!</definedName>
    <definedName name="SCODVERBA01">#REF!</definedName>
    <definedName name="SCODVERBA01_1" localSheetId="11">[13]MEMORIAL!#REF!</definedName>
    <definedName name="SCODVERBA01_1">#REF!</definedName>
    <definedName name="SCOMPOS01" localSheetId="11">[12]MEMORIAL!#REF!</definedName>
    <definedName name="SCOMPOS01">#REF!</definedName>
    <definedName name="SCOMPOS01_1" localSheetId="11">[13]MEMORIAL!#REF!</definedName>
    <definedName name="SCOMPOS01_1">#REF!</definedName>
    <definedName name="sdaa" localSheetId="16">#REF!</definedName>
    <definedName name="sdaa" localSheetId="10">#REF!</definedName>
    <definedName name="sdaa" localSheetId="11">#REF!</definedName>
    <definedName name="sdaa">#REF!</definedName>
    <definedName name="SEM">#REF!</definedName>
    <definedName name="SEMANAS" localSheetId="11">'[25]Gauss Civil'!#REF!</definedName>
    <definedName name="SEMANAS">#REF!</definedName>
    <definedName name="SERVIX" localSheetId="11">'[8]PLANILHA DE QUANT. E CUSTOS A'!#REF!</definedName>
    <definedName name="SERVIX" localSheetId="12">#REF!</definedName>
    <definedName name="SERVIX">#REF!</definedName>
    <definedName name="SERVIX_17" localSheetId="11">'[8]PLANILHA DE QUANT_ E CUSTOS A'!#REF!</definedName>
    <definedName name="SERVIX_17" localSheetId="12">#REF!</definedName>
    <definedName name="SERVIX_17">#REF!</definedName>
    <definedName name="SERVIX_8" localSheetId="11">'[8]PLANILHA DE QUANT_ E CUSTOS A'!#REF!</definedName>
    <definedName name="SERVIX_8" localSheetId="12">#REF!</definedName>
    <definedName name="SERVIX_8">#REF!</definedName>
    <definedName name="sh" localSheetId="16">#REF!</definedName>
    <definedName name="sh" localSheetId="4">#REF!</definedName>
    <definedName name="sh" localSheetId="11">#REF!</definedName>
    <definedName name="sh" localSheetId="12">#REF!</definedName>
    <definedName name="sh">#REF!</definedName>
    <definedName name="SISTEMA_ESTRUTURAL" localSheetId="11">[11]Plan1!$A$94:$A$100</definedName>
    <definedName name="SISTEMA_ESTRUTURAL" localSheetId="1">#REF!</definedName>
    <definedName name="SISTEMA_ESTRUTURAL" localSheetId="2">#REF!</definedName>
    <definedName name="SISTEMA_ESTRUTURAL">#REF!</definedName>
    <definedName name="SITUACAO" localSheetId="11">[11]Plan1!$A$60:$A$64</definedName>
    <definedName name="SITUACAO" localSheetId="1">#REF!</definedName>
    <definedName name="SITUACAO" localSheetId="2">#REF!</definedName>
    <definedName name="SITUACAO">#REF!</definedName>
    <definedName name="SS" localSheetId="16">#REF!</definedName>
    <definedName name="SS" localSheetId="4">#REF!</definedName>
    <definedName name="SS" localSheetId="11">#REF!</definedName>
    <definedName name="SS" localSheetId="12">#REF!</definedName>
    <definedName name="SS">#REF!</definedName>
    <definedName name="SSS" localSheetId="16">#REF!</definedName>
    <definedName name="SSS" localSheetId="11">#REF!</definedName>
    <definedName name="SSS">#REF!</definedName>
    <definedName name="sssss" localSheetId="16">#REF!</definedName>
    <definedName name="sssss" localSheetId="11">#REF!</definedName>
    <definedName name="sssss">#REF!</definedName>
    <definedName name="STOT01.010.0020" localSheetId="11">[13]MEMORIAL!#REF!</definedName>
    <definedName name="STOT01.010.0020">#REF!</definedName>
    <definedName name="STOT01.010.0020_1" localSheetId="11">[13]MEMORIAL!#REF!</definedName>
    <definedName name="STOT01.010.0020_1">#REF!</definedName>
    <definedName name="STOT01.050.0040" localSheetId="11">[13]MEMORIAL!#REF!</definedName>
    <definedName name="STOT01.050.0040">#REF!</definedName>
    <definedName name="STOT01.050.0040_1" localSheetId="11">[13]MEMORIAL!#REF!</definedName>
    <definedName name="STOT01.050.0040_1">#REF!</definedName>
    <definedName name="STOT01.110.0010" localSheetId="11">[13]MEMORIAL!#REF!</definedName>
    <definedName name="STOT01.110.0010">#REF!</definedName>
    <definedName name="STOT01.110.0010_1" localSheetId="11">[13]MEMORIAL!#REF!</definedName>
    <definedName name="STOT01.110.0010_1">#REF!</definedName>
    <definedName name="STOT01.110.0295" localSheetId="11">[13]MEMORIAL!#REF!</definedName>
    <definedName name="STOT01.110.0295">#REF!</definedName>
    <definedName name="STOT01.110.0295_1" localSheetId="11">[13]MEMORIAL!#REF!</definedName>
    <definedName name="STOT01.110.0295_1">#REF!</definedName>
    <definedName name="STOT01.110.0720" localSheetId="11">[13]MEMORIAL!#REF!</definedName>
    <definedName name="STOT01.110.0720">#REF!</definedName>
    <definedName name="STOT01.110.0720_1" localSheetId="11">[13]MEMORIAL!#REF!</definedName>
    <definedName name="STOT01.110.0720_1">#REF!</definedName>
    <definedName name="STOT01.120.O22O" localSheetId="11">[13]MEMORIAL!#REF!</definedName>
    <definedName name="STOT01.120.O22O">#REF!</definedName>
    <definedName name="STOT01.120.O22O_1" localSheetId="11">[13]MEMORIAL!#REF!</definedName>
    <definedName name="STOT01.120.O22O_1">#REF!</definedName>
    <definedName name="STOT01.150.0130" localSheetId="11">[13]MEMORIAL!#REF!</definedName>
    <definedName name="STOT01.150.0130">#REF!</definedName>
    <definedName name="STOT01.150.0190" localSheetId="11">[13]MEMORIAL!#REF!</definedName>
    <definedName name="STOT01.150.0190">#REF!</definedName>
    <definedName name="STOT01.150.0190_1" localSheetId="11">[13]MEMORIAL!#REF!</definedName>
    <definedName name="STOT01.150.0190_1">#REF!</definedName>
    <definedName name="STOT01.250.0020" localSheetId="11">[13]MEMORIAL!#REF!</definedName>
    <definedName name="STOT01.250.0020">#REF!</definedName>
    <definedName name="STOT01.250.0020_1" localSheetId="11">[13]MEMORIAL!#REF!</definedName>
    <definedName name="STOT01.250.0020_1">#REF!</definedName>
    <definedName name="STOT01.250.0040" localSheetId="11">[13]MEMORIAL!#REF!</definedName>
    <definedName name="STOT01.250.0040">#REF!</definedName>
    <definedName name="STOT01.250.0040_1" localSheetId="11">[13]MEMORIAL!#REF!</definedName>
    <definedName name="STOT01.250.0040_1">#REF!</definedName>
    <definedName name="STOT01.250.0340" localSheetId="11">[13]MEMORIAL!#REF!</definedName>
    <definedName name="STOT01.250.0340">#REF!</definedName>
    <definedName name="STOT01.250.0340_1" localSheetId="11">[13]MEMORIAL!#REF!</definedName>
    <definedName name="STOT01.250.0340_1">#REF!</definedName>
    <definedName name="STOT01.2500040" localSheetId="11">[13]MEMORIAL!#REF!</definedName>
    <definedName name="STOT01.2500040">#REF!</definedName>
    <definedName name="STOT01.2500040_1" localSheetId="11">[13]MEMORIAL!#REF!</definedName>
    <definedName name="STOT01.2500040_1">#REF!</definedName>
    <definedName name="STOT02.010.0020" localSheetId="16">#REF!</definedName>
    <definedName name="STOT02.010.0020" localSheetId="10">#REF!</definedName>
    <definedName name="STOT02.010.0020" localSheetId="11">#REF!</definedName>
    <definedName name="STOT02.010.0020" localSheetId="1">#REF!</definedName>
    <definedName name="STOT02.010.0020" localSheetId="2">#REF!</definedName>
    <definedName name="STOT02.010.0020">#REF!</definedName>
    <definedName name="STOT02.010.0020_1" localSheetId="10">[13]MEMORIAL!#REF!</definedName>
    <definedName name="STOT02.010.0020_1" localSheetId="11">[13]MEMORIAL!#REF!</definedName>
    <definedName name="STOT02.010.0020_1" localSheetId="1">#REF!</definedName>
    <definedName name="STOT02.010.0020_1" localSheetId="2">#REF!</definedName>
    <definedName name="STOT02.010.0020_1">#REF!</definedName>
    <definedName name="STOT02.010.0030" localSheetId="11">[13]MEMORIAL!#REF!</definedName>
    <definedName name="STOT02.010.0030" localSheetId="1">#REF!</definedName>
    <definedName name="STOT02.010.0030" localSheetId="2">#REF!</definedName>
    <definedName name="STOT02.010.0030">#REF!</definedName>
    <definedName name="STOT02.010.0030_1" localSheetId="11">[13]MEMORIAL!#REF!</definedName>
    <definedName name="STOT02.010.0030_1">#REF!</definedName>
    <definedName name="STOT02.010.0050" localSheetId="11">[21]MEMORIAL!#REF!</definedName>
    <definedName name="STOT02.010.0050">#REF!</definedName>
    <definedName name="STOT02.010.0050_1" localSheetId="11">[21]MEMORIAL!#REF!</definedName>
    <definedName name="STOT02.010.0050_1">#REF!</definedName>
    <definedName name="STOT02.010.0060" localSheetId="11">[13]MEMORIAL!#REF!</definedName>
    <definedName name="STOT02.010.0060">#REF!</definedName>
    <definedName name="STOT02.010.0060_1" localSheetId="11">[13]MEMORIAL!#REF!</definedName>
    <definedName name="STOT02.010.0060_1">#REF!</definedName>
    <definedName name="STOT02.010.0065" localSheetId="11">[21]MEMORIAL!#REF!</definedName>
    <definedName name="STOT02.010.0065">#REF!</definedName>
    <definedName name="STOT02.010.0065_1" localSheetId="11">[13]MEMORIAL!#REF!</definedName>
    <definedName name="STOT02.010.0065_1">#REF!</definedName>
    <definedName name="STOT02.010.0080" localSheetId="11">[13]MEMORIAL!#REF!</definedName>
    <definedName name="STOT02.010.0080">#REF!</definedName>
    <definedName name="STOT02.010.0080_1" localSheetId="11">[13]MEMORIAL!#REF!</definedName>
    <definedName name="STOT02.010.0080_1">#REF!</definedName>
    <definedName name="STOT02.010.0090" localSheetId="11">[13]MEMORIAL!#REF!</definedName>
    <definedName name="STOT02.010.0090">#REF!</definedName>
    <definedName name="STOT02.010.0090_1" localSheetId="11">[13]MEMORIAL!#REF!</definedName>
    <definedName name="STOT02.010.0090_1">#REF!</definedName>
    <definedName name="STOT02.010.0130" localSheetId="11">[21]MEMORIAL!#REF!</definedName>
    <definedName name="STOT02.010.0130">#REF!</definedName>
    <definedName name="STOT02.010.0130_1" localSheetId="11">[21]MEMORIAL!#REF!</definedName>
    <definedName name="STOT02.010.0130_1">#REF!</definedName>
    <definedName name="STOT02.010.0140" localSheetId="11">[13]MEMORIAL!#REF!</definedName>
    <definedName name="STOT02.010.0140">#REF!</definedName>
    <definedName name="STOT02.010.0140_1" localSheetId="11">[13]MEMORIAL!#REF!</definedName>
    <definedName name="STOT02.010.0140_1">#REF!</definedName>
    <definedName name="STOT02.010.0150" localSheetId="11">[13]MEMORIAL!#REF!</definedName>
    <definedName name="STOT02.010.0150">#REF!</definedName>
    <definedName name="STOT02.010.0150_1" localSheetId="11">[13]MEMORIAL!#REF!</definedName>
    <definedName name="STOT02.010.0150_1">#REF!</definedName>
    <definedName name="STOT02.020.0020" localSheetId="11">[13]MEMORIAL!#REF!</definedName>
    <definedName name="STOT02.020.0020">#REF!</definedName>
    <definedName name="STOT02.020.0020_1" localSheetId="11">[13]MEMORIAL!#REF!</definedName>
    <definedName name="STOT02.020.0020_1">#REF!</definedName>
    <definedName name="STOT02.040.0320" localSheetId="11">[13]MEMORIAL!#REF!</definedName>
    <definedName name="STOT02.040.0320">#REF!</definedName>
    <definedName name="STOT02.040.0320_1" localSheetId="11">[13]MEMORIAL!#REF!</definedName>
    <definedName name="STOT02.040.0320_1">#REF!</definedName>
    <definedName name="STOT02.040.3910" localSheetId="11">[13]MEMORIAL!#REF!</definedName>
    <definedName name="STOT02.040.3910">#REF!</definedName>
    <definedName name="STOT02.040.3910_1" localSheetId="11">[13]MEMORIAL!#REF!</definedName>
    <definedName name="STOT02.040.3910_1">#REF!</definedName>
    <definedName name="STOT02.040.3930" localSheetId="11">[13]MEMORIAL!#REF!</definedName>
    <definedName name="STOT02.040.3930">#REF!</definedName>
    <definedName name="STOT02.040.3930_1" localSheetId="11">[13]MEMORIAL!#REF!</definedName>
    <definedName name="STOT02.040.3930_1">#REF!</definedName>
    <definedName name="STOT02.040.7438" localSheetId="11">[13]MEMORIAL!#REF!</definedName>
    <definedName name="STOT02.040.7438">#REF!</definedName>
    <definedName name="STOT02.040.7438_1" localSheetId="11">[13]MEMORIAL!#REF!</definedName>
    <definedName name="STOT02.040.7438_1">#REF!</definedName>
    <definedName name="STOT02.110.0136" localSheetId="11">[13]MEMORIAL!#REF!</definedName>
    <definedName name="STOT02.110.0136">#REF!</definedName>
    <definedName name="STOT02.110.0136_1" localSheetId="11">[13]MEMORIAL!#REF!</definedName>
    <definedName name="STOT02.110.0136_1">#REF!</definedName>
    <definedName name="STOT02.110.0736" localSheetId="11">[13]MEMORIAL!#REF!</definedName>
    <definedName name="STOT02.110.0736">#REF!</definedName>
    <definedName name="STOT02.110.0736_1" localSheetId="11">[13]MEMORIAL!#REF!</definedName>
    <definedName name="STOT02.110.0736_1">#REF!</definedName>
    <definedName name="STOT02.110.1866" localSheetId="11">[13]MEMORIAL!#REF!</definedName>
    <definedName name="STOT02.110.1866">#REF!</definedName>
    <definedName name="STOT02.110.1866_1" localSheetId="11">[13]MEMORIAL!#REF!</definedName>
    <definedName name="STOT02.110.1866_1">#REF!</definedName>
    <definedName name="STOT02.110.2021" localSheetId="11">[13]MEMORIAL!#REF!</definedName>
    <definedName name="STOT02.110.2021">#REF!</definedName>
    <definedName name="STOT02.110.2021_1" localSheetId="11">[13]MEMORIAL!#REF!</definedName>
    <definedName name="STOT02.110.2021_1">#REF!</definedName>
    <definedName name="STOT02.110.2070" localSheetId="11">[13]MEMORIAL!#REF!</definedName>
    <definedName name="STOT02.110.2070">#REF!</definedName>
    <definedName name="STOT02.110.2070_1" localSheetId="11">[13]MEMORIAL!#REF!</definedName>
    <definedName name="STOT02.110.2070_1">#REF!</definedName>
    <definedName name="STOT02.110.2284" localSheetId="11">[13]MEMORIAL!#REF!</definedName>
    <definedName name="STOT02.110.2284">#REF!</definedName>
    <definedName name="STOT02.110.2284_1" localSheetId="11">[13]MEMORIAL!#REF!</definedName>
    <definedName name="STOT02.110.2284_1">#REF!</definedName>
    <definedName name="STOT02.110.2758" localSheetId="11">[13]MEMORIAL!#REF!</definedName>
    <definedName name="STOT02.110.2758">#REF!</definedName>
    <definedName name="STOT02.110.2758_1" localSheetId="11">[13]MEMORIAL!#REF!</definedName>
    <definedName name="STOT02.110.2758_1">#REF!</definedName>
    <definedName name="STOT02.110.3862" localSheetId="11">[13]MEMORIAL!#REF!</definedName>
    <definedName name="STOT02.110.3862">#REF!</definedName>
    <definedName name="STOT02.110.3862_1" localSheetId="11">[13]MEMORIAL!#REF!</definedName>
    <definedName name="STOT02.110.3862_1">#REF!</definedName>
    <definedName name="STOT02.110.3868" localSheetId="11">[13]MEMORIAL!#REF!</definedName>
    <definedName name="STOT02.110.3868">#REF!</definedName>
    <definedName name="STOT02.110.3926" localSheetId="11">[13]MEMORIAL!#REF!</definedName>
    <definedName name="STOT02.110.3926">#REF!</definedName>
    <definedName name="STOT02.110.3926_1" localSheetId="11">[13]MEMORIAL!#REF!</definedName>
    <definedName name="STOT02.110.3926_1">#REF!</definedName>
    <definedName name="STOT02.110.4292" localSheetId="11">[13]MEMORIAL!#REF!</definedName>
    <definedName name="STOT02.110.4292">#REF!</definedName>
    <definedName name="STOT02.110.4292_1" localSheetId="11">[13]MEMORIAL!#REF!</definedName>
    <definedName name="STOT02.110.4292_1">#REF!</definedName>
    <definedName name="STOT02.110.4760" localSheetId="11">[13]MEMORIAL!#REF!</definedName>
    <definedName name="STOT02.110.4760">#REF!</definedName>
    <definedName name="STOT02.110.4760_1" localSheetId="11">[13]MEMORIAL!#REF!</definedName>
    <definedName name="STOT02.110.4760_1">#REF!</definedName>
    <definedName name="STOT02.120.0010" localSheetId="11">[13]MEMORIAL!#REF!</definedName>
    <definedName name="STOT02.120.0010">#REF!</definedName>
    <definedName name="STOT02.120.0010_1" localSheetId="11">[13]MEMORIAL!#REF!</definedName>
    <definedName name="STOT02.120.0010_1">#REF!</definedName>
    <definedName name="STOT02.120.0040" localSheetId="11">[13]MEMORIAL!#REF!</definedName>
    <definedName name="STOT02.120.0040">#REF!</definedName>
    <definedName name="STOT02.120.0040_1" localSheetId="11">[13]MEMORIAL!#REF!</definedName>
    <definedName name="STOT02.120.0040_1">#REF!</definedName>
    <definedName name="STOT02.140.0040" localSheetId="11">[13]MEMORIAL!#REF!</definedName>
    <definedName name="STOT02.140.0040">#REF!</definedName>
    <definedName name="STOT02.140.0040_1" localSheetId="11">[13]MEMORIAL!#REF!</definedName>
    <definedName name="STOT02.140.0040_1">#REF!</definedName>
    <definedName name="STOT02.160.0010" localSheetId="11">[13]MEMORIAL!#REF!</definedName>
    <definedName name="STOT02.160.0010">#REF!</definedName>
    <definedName name="STOT02.160.0010_1" localSheetId="11">[13]MEMORIAL!#REF!</definedName>
    <definedName name="STOT02.160.0010_1">#REF!</definedName>
    <definedName name="STOT02.160.0075" localSheetId="11">[13]MEMORIAL!#REF!</definedName>
    <definedName name="STOT02.160.0075">#REF!</definedName>
    <definedName name="STOT02.160.0075_1" localSheetId="11">[13]MEMORIAL!#REF!</definedName>
    <definedName name="STOT02.160.0075_1">#REF!</definedName>
    <definedName name="STOT02.210.0030" localSheetId="11">[13]MEMORIAL!#REF!</definedName>
    <definedName name="STOT02.210.0030">#REF!</definedName>
    <definedName name="STOT02.210.0030_1" localSheetId="11">[13]MEMORIAL!#REF!</definedName>
    <definedName name="STOT02.210.0030_1">#REF!</definedName>
    <definedName name="STOT02.210.0110" localSheetId="11">[13]MEMORIAL!#REF!</definedName>
    <definedName name="STOT02.210.0110">#REF!</definedName>
    <definedName name="STOT02.210.0110_1" localSheetId="11">[13]MEMORIAL!#REF!</definedName>
    <definedName name="STOT02.210.0110_1">#REF!</definedName>
    <definedName name="STOT02.210.0290" localSheetId="11">[13]MEMORIAL!#REF!</definedName>
    <definedName name="STOT02.210.0290">#REF!</definedName>
    <definedName name="STOT02.210.0290_1" localSheetId="11">[13]MEMORIAL!#REF!</definedName>
    <definedName name="STOT02.210.0290_1">#REF!</definedName>
    <definedName name="STOT02.210.0320" localSheetId="11">[13]MEMORIAL!#REF!</definedName>
    <definedName name="STOT02.210.0320">#REF!</definedName>
    <definedName name="STOT02.210.0320_1" localSheetId="11">[13]MEMORIAL!#REF!</definedName>
    <definedName name="STOT02.210.0320_1">#REF!</definedName>
    <definedName name="STOT03.010.0020" localSheetId="11">[21]MEMORIAL!#REF!</definedName>
    <definedName name="STOT03.010.0020">#REF!</definedName>
    <definedName name="STOT03.010.0020_1" localSheetId="11">[13]MEMORIAL!#REF!</definedName>
    <definedName name="STOT03.010.0020_1">#REF!</definedName>
    <definedName name="STOT03.010.0025" localSheetId="11">[21]MEMORIAL!#REF!</definedName>
    <definedName name="STOT03.010.0025">#REF!</definedName>
    <definedName name="STOT03.010.0025_1" localSheetId="11">[13]MEMORIAL!#REF!</definedName>
    <definedName name="STOT03.010.0025_1">#REF!</definedName>
    <definedName name="STOT03.010.0040" localSheetId="11">[21]MEMORIAL!#REF!</definedName>
    <definedName name="STOT03.010.0040">#REF!</definedName>
    <definedName name="STOT03.010.0040_1" localSheetId="11">[22]MEMORIAL!#REF!</definedName>
    <definedName name="STOT03.010.0040_1">#REF!</definedName>
    <definedName name="STOT03.010.0050" localSheetId="11">[21]MEMORIAL!#REF!</definedName>
    <definedName name="STOT03.010.0050">#REF!</definedName>
    <definedName name="STOT03.010.0050_1" localSheetId="11">[22]MEMORIAL!#REF!</definedName>
    <definedName name="STOT03.010.0050_1">#REF!</definedName>
    <definedName name="STOT03.010.0100" localSheetId="11">[21]MEMORIAL!#REF!</definedName>
    <definedName name="STOT03.010.0100">#REF!</definedName>
    <definedName name="STOT03.010.0100_1" localSheetId="11">[21]MEMORIAL!#REF!</definedName>
    <definedName name="STOT03.010.0100_1">#REF!</definedName>
    <definedName name="STOT03.010.0140" localSheetId="11">[13]MEMORIAL!#REF!</definedName>
    <definedName name="STOT03.010.0140">#REF!</definedName>
    <definedName name="STOT03.010.0140_1" localSheetId="11">[13]MEMORIAL!#REF!</definedName>
    <definedName name="STOT03.010.0140_1">#REF!</definedName>
    <definedName name="STOT03.010.0160" localSheetId="11">[13]MEMORIAL!#REF!</definedName>
    <definedName name="STOT03.010.0160">#REF!</definedName>
    <definedName name="STOT03.010.0160_1" localSheetId="11">[13]MEMORIAL!#REF!</definedName>
    <definedName name="STOT03.010.0160_1">#REF!</definedName>
    <definedName name="STOT03.010.0170" localSheetId="11">[13]MEMORIAL!#REF!</definedName>
    <definedName name="STOT03.010.0170">#REF!</definedName>
    <definedName name="STOT03.010.0170_1" localSheetId="11">[13]MEMORIAL!#REF!</definedName>
    <definedName name="STOT03.010.0170_1">#REF!</definedName>
    <definedName name="STOT03.010.0180" localSheetId="11">[21]MEMORIAL!#REF!</definedName>
    <definedName name="STOT03.010.0180">#REF!</definedName>
    <definedName name="STOT03.010.0180_1" localSheetId="11">[13]MEMORIAL!#REF!</definedName>
    <definedName name="STOT03.010.0180_1">#REF!</definedName>
    <definedName name="STOT03.010.0190" localSheetId="11">[13]MEMORIAL!#REF!</definedName>
    <definedName name="STOT03.010.0190">#REF!</definedName>
    <definedName name="STOT03.010.0190_1" localSheetId="11">[13]MEMORIAL!#REF!</definedName>
    <definedName name="STOT03.010.0190_1">#REF!</definedName>
    <definedName name="STOT03.010.0200" localSheetId="11">[21]MEMORIAL!#REF!</definedName>
    <definedName name="STOT03.010.0200">#REF!</definedName>
    <definedName name="STOT03.010.0200_1" localSheetId="11">[13]MEMORIAL!#REF!</definedName>
    <definedName name="STOT03.010.0200_1">#REF!</definedName>
    <definedName name="STOT04.010.0010" localSheetId="11">[13]MEMORIAL!#REF!</definedName>
    <definedName name="STOT04.010.0010">#REF!</definedName>
    <definedName name="STOT04.010.0010_1" localSheetId="11">[13]MEMORIAL!#REF!</definedName>
    <definedName name="STOT04.010.0010_1">#REF!</definedName>
    <definedName name="STOT04.010.0040" localSheetId="11">[13]MEMORIAL!#REF!</definedName>
    <definedName name="STOT04.010.0040">#REF!</definedName>
    <definedName name="STOT04.010.0040_1" localSheetId="11">[13]MEMORIAL!#REF!</definedName>
    <definedName name="STOT04.010.0040_1">#REF!</definedName>
    <definedName name="STOT04.010.0070" localSheetId="11">[13]MEMORIAL!#REF!</definedName>
    <definedName name="STOT04.010.0070">#REF!</definedName>
    <definedName name="STOT04.010.0070_1" localSheetId="11">[13]MEMORIAL!#REF!</definedName>
    <definedName name="STOT04.010.0070_1">#REF!</definedName>
    <definedName name="STOT04.010.0150" localSheetId="11">[13]MEMORIAL!#REF!</definedName>
    <definedName name="STOT04.010.0150">#REF!</definedName>
    <definedName name="STOT04.010.0150_1" localSheetId="11">[13]MEMORIAL!#REF!</definedName>
    <definedName name="STOT04.010.0150_1">#REF!</definedName>
    <definedName name="STOT04.010.0190" localSheetId="11">[13]MEMORIAL!#REF!</definedName>
    <definedName name="STOT04.010.0190">#REF!</definedName>
    <definedName name="STOT04.010.0190_1" localSheetId="11">[13]MEMORIAL!#REF!</definedName>
    <definedName name="STOT04.010.0190_1">#REF!</definedName>
    <definedName name="STOT04.010.0200" localSheetId="11">[13]MEMORIAL!#REF!</definedName>
    <definedName name="STOT04.010.0200">#REF!</definedName>
    <definedName name="STOT04.010.0200_1" localSheetId="11">[13]MEMORIAL!#REF!</definedName>
    <definedName name="STOT04.010.0200_1">#REF!</definedName>
    <definedName name="STOT04.010.0290" localSheetId="16">#REF!</definedName>
    <definedName name="STOT04.010.0290" localSheetId="10">#REF!</definedName>
    <definedName name="STOT04.010.0290" localSheetId="11">#REF!</definedName>
    <definedName name="STOT04.010.0290" localSheetId="1">#REF!</definedName>
    <definedName name="STOT04.010.0290" localSheetId="2">#REF!</definedName>
    <definedName name="STOT04.010.0290">#REF!</definedName>
    <definedName name="STOT04.010.0290_1" localSheetId="10">[26]MEMORIAL!#REF!</definedName>
    <definedName name="STOT04.010.0290_1" localSheetId="11">[26]MEMORIAL!#REF!</definedName>
    <definedName name="STOT04.010.0290_1" localSheetId="1">#REF!</definedName>
    <definedName name="STOT04.010.0290_1" localSheetId="2">#REF!</definedName>
    <definedName name="STOT04.010.0290_1">#REF!</definedName>
    <definedName name="STOT04.010.0320" localSheetId="11">[21]MEMORIAL!#REF!</definedName>
    <definedName name="STOT04.010.0320" localSheetId="1">#REF!</definedName>
    <definedName name="STOT04.010.0320" localSheetId="2">#REF!</definedName>
    <definedName name="STOT04.010.0320">#REF!</definedName>
    <definedName name="STOT04.010.0320_1" localSheetId="11">[13]MEMORIAL!#REF!</definedName>
    <definedName name="STOT04.010.0320_1">#REF!</definedName>
    <definedName name="stot04.010.0330" localSheetId="16">#REF!</definedName>
    <definedName name="stot04.010.0330" localSheetId="10">#REF!</definedName>
    <definedName name="stot04.010.0330" localSheetId="11">#REF!</definedName>
    <definedName name="stot04.010.0330" localSheetId="1">#REF!</definedName>
    <definedName name="stot04.010.0330" localSheetId="2">#REF!</definedName>
    <definedName name="stot04.010.0330">#REF!</definedName>
    <definedName name="STOT04.010.0330_1" localSheetId="10">[13]MEMORIAL!#REF!</definedName>
    <definedName name="STOT04.010.0330_1" localSheetId="11">[13]MEMORIAL!#REF!</definedName>
    <definedName name="STOT04.010.0330_1" localSheetId="1">#REF!</definedName>
    <definedName name="STOT04.010.0330_1" localSheetId="2">#REF!</definedName>
    <definedName name="STOT04.010.0330_1">#REF!</definedName>
    <definedName name="STOT04.010.0371" localSheetId="11">[21]MEMORIAL!#REF!</definedName>
    <definedName name="STOT04.010.0371" localSheetId="1">#REF!</definedName>
    <definedName name="STOT04.010.0371" localSheetId="2">#REF!</definedName>
    <definedName name="STOT04.010.0371">#REF!</definedName>
    <definedName name="STOT04.010.0371_1" localSheetId="11">[22]MEMORIAL!#REF!</definedName>
    <definedName name="STOT04.010.0371_1">#REF!</definedName>
    <definedName name="STOT04.010.0375" localSheetId="11">[21]MEMORIAL!#REF!</definedName>
    <definedName name="STOT04.010.0375">#REF!</definedName>
    <definedName name="STOT04.010.0375_1" localSheetId="11">[13]MEMORIAL!#REF!</definedName>
    <definedName name="STOT04.010.0375_1">#REF!</definedName>
    <definedName name="STOT04.010.0395" localSheetId="11">[21]MEMORIAL!#REF!</definedName>
    <definedName name="STOT04.010.0395">#REF!</definedName>
    <definedName name="STOT04.010.0395_1" localSheetId="11">[13]MEMORIAL!#REF!</definedName>
    <definedName name="STOT04.010.0395_1">#REF!</definedName>
    <definedName name="STOT04.010.0420" localSheetId="11">[13]MEMORIAL!#REF!</definedName>
    <definedName name="STOT04.010.0420">#REF!</definedName>
    <definedName name="STOT04.010.0420_1" localSheetId="11">[13]MEMORIAL!#REF!</definedName>
    <definedName name="STOT04.010.0420_1">#REF!</definedName>
    <definedName name="STOT04.010.0430" localSheetId="11">[13]MEMORIAL!#REF!</definedName>
    <definedName name="STOT04.010.0430">#REF!</definedName>
    <definedName name="STOT04.010.0430_1" localSheetId="11">[13]MEMORIAL!#REF!</definedName>
    <definedName name="STOT04.010.0430_1">#REF!</definedName>
    <definedName name="STOT05.010.0020" localSheetId="11">[21]MEMORIAL!#REF!</definedName>
    <definedName name="STOT05.010.0020">#REF!</definedName>
    <definedName name="STOT05.010.0020_1" localSheetId="11">[13]MEMORIAL!#REF!</definedName>
    <definedName name="STOT05.010.0020_1">#REF!</definedName>
    <definedName name="STOT05.110.0005" localSheetId="11">[13]MEMORIAL!#REF!</definedName>
    <definedName name="STOT05.110.0005">#REF!</definedName>
    <definedName name="STOT05.110.0005_1" localSheetId="11">[13]MEMORIAL!#REF!</definedName>
    <definedName name="STOT05.110.0005_1">#REF!</definedName>
    <definedName name="STOT05.110.0420" localSheetId="11">[13]MEMORIAL!#REF!</definedName>
    <definedName name="STOT05.110.0420">#REF!</definedName>
    <definedName name="STOT05.110.0420_1" localSheetId="11">[13]MEMORIAL!#REF!</definedName>
    <definedName name="STOT05.110.0420_1">#REF!</definedName>
    <definedName name="STOT05.110.1300" localSheetId="11">[13]MEMORIAL!#REF!</definedName>
    <definedName name="STOT05.110.1300">#REF!</definedName>
    <definedName name="STOT05.110.1300_1" localSheetId="11">[13]MEMORIAL!#REF!</definedName>
    <definedName name="STOT05.110.1300_1">#REF!</definedName>
    <definedName name="STOT05.110.1565" localSheetId="11">[13]MEMORIAL!#REF!</definedName>
    <definedName name="STOT05.110.1565">#REF!</definedName>
    <definedName name="STOT05.110.1565_1" localSheetId="11">[13]MEMORIAL!#REF!</definedName>
    <definedName name="STOT05.110.1565_1">#REF!</definedName>
    <definedName name="STOT05.110.1590" localSheetId="11">[13]MEMORIAL!#REF!</definedName>
    <definedName name="STOT05.110.1590">#REF!</definedName>
    <definedName name="STOT05.110.1590_1" localSheetId="11">[13]MEMORIAL!#REF!</definedName>
    <definedName name="STOT05.110.1590_1">#REF!</definedName>
    <definedName name="STOT05.110.1620" localSheetId="11">[13]MEMORIAL!#REF!</definedName>
    <definedName name="STOT05.110.1620">#REF!</definedName>
    <definedName name="STOT05.120.0060" localSheetId="11">[13]MEMORIAL!#REF!</definedName>
    <definedName name="STOT05.120.0060">#REF!</definedName>
    <definedName name="STOT05.120.0060_1" localSheetId="11">[13]MEMORIAL!#REF!</definedName>
    <definedName name="STOT05.120.0060_1">#REF!</definedName>
    <definedName name="STOT06.010.0010" localSheetId="11">[13]MEMORIAL!#REF!</definedName>
    <definedName name="STOT06.010.0010">#REF!</definedName>
    <definedName name="STOT06.010.0010_1" localSheetId="11">[13]MEMORIAL!#REF!</definedName>
    <definedName name="STOT06.010.0010_1">#REF!</definedName>
    <definedName name="STOT08.010.0010" localSheetId="11">[13]MEMORIAL!#REF!</definedName>
    <definedName name="STOT08.010.0010">#REF!</definedName>
    <definedName name="STOT08.010.0010_1" localSheetId="11">[13]MEMORIAL!#REF!</definedName>
    <definedName name="STOT08.010.0010_1">#REF!</definedName>
    <definedName name="STOT08.010.0040" localSheetId="11">[13]MEMORIAL!#REF!</definedName>
    <definedName name="STOT08.010.0040">#REF!</definedName>
    <definedName name="STOT08.010.0040_1" localSheetId="11">[13]MEMORIAL!#REF!</definedName>
    <definedName name="STOT08.010.0040_1">#REF!</definedName>
    <definedName name="STOT08.010.0060" localSheetId="11">[21]MEMORIAL!#REF!</definedName>
    <definedName name="STOT08.010.0060">#REF!</definedName>
    <definedName name="STOT08.010.0060_1" localSheetId="11">[22]MEMORIAL!#REF!</definedName>
    <definedName name="STOT08.010.0060_1">#REF!</definedName>
    <definedName name="STOT08.010.0120" localSheetId="11">[21]MEMORIAL!#REF!</definedName>
    <definedName name="STOT08.010.0120">#REF!</definedName>
    <definedName name="STOT08.010.0120_1" localSheetId="11">[13]MEMORIAL!#REF!</definedName>
    <definedName name="STOT08.010.0120_1">#REF!</definedName>
    <definedName name="STOT08.010.0130" localSheetId="11">[13]MEMORIAL!#REF!</definedName>
    <definedName name="STOT08.010.0130">#REF!</definedName>
    <definedName name="STOT08.010.0130_1" localSheetId="11">[13]MEMORIAL!#REF!</definedName>
    <definedName name="STOT08.010.0130_1">#REF!</definedName>
    <definedName name="STOT08.010.0135" localSheetId="11">[21]MEMORIAL!#REF!</definedName>
    <definedName name="STOT08.010.0135">#REF!</definedName>
    <definedName name="STOT08.010.0135_1" localSheetId="11">[13]MEMORIAL!#REF!</definedName>
    <definedName name="STOT08.010.0135_1">#REF!</definedName>
    <definedName name="STOT08.010.0190" localSheetId="11">[13]MEMORIAL!#REF!</definedName>
    <definedName name="STOT08.010.0190">#REF!</definedName>
    <definedName name="STOT08.010.0190_1" localSheetId="11">[13]MEMORIAL!#REF!</definedName>
    <definedName name="STOT08.010.0190_1">#REF!</definedName>
    <definedName name="STOT08.010.0270" localSheetId="11">[21]MEMORIAL!#REF!</definedName>
    <definedName name="STOT08.010.0270">#REF!</definedName>
    <definedName name="STOT08.010.0270_1" localSheetId="11">[13]MEMORIAL!#REF!</definedName>
    <definedName name="STOT08.010.0270_1">#REF!</definedName>
    <definedName name="STOT080.010.0350" localSheetId="11">[13]MEMORIAL!#REF!</definedName>
    <definedName name="STOT080.010.0350">#REF!</definedName>
    <definedName name="STOT080.010.0350_1" localSheetId="11">[13]MEMORIAL!#REF!</definedName>
    <definedName name="STOT080.010.0350_1">#REF!</definedName>
    <definedName name="STOT09.010.0060" localSheetId="11">[21]MEMORIAL!#REF!</definedName>
    <definedName name="STOT09.010.0060">#REF!</definedName>
    <definedName name="STOT09.010.0060_1" localSheetId="11">[13]MEMORIAL!#REF!</definedName>
    <definedName name="STOT09.010.0060_1">#REF!</definedName>
    <definedName name="STOT09.010.0070" localSheetId="11">[13]MEMORIAL!#REF!</definedName>
    <definedName name="STOT09.010.0070">#REF!</definedName>
    <definedName name="STOT09.010.0070_1" localSheetId="11">[13]MEMORIAL!#REF!</definedName>
    <definedName name="STOT09.010.0070_1">#REF!</definedName>
    <definedName name="STOT09.010.0240" localSheetId="11">[21]MEMORIAL!#REF!</definedName>
    <definedName name="STOT09.010.0240">#REF!</definedName>
    <definedName name="STOT09.010.0240_1" localSheetId="11">[13]MEMORIAL!#REF!</definedName>
    <definedName name="STOT09.010.0240_1">#REF!</definedName>
    <definedName name="STOT09.010.0380" localSheetId="11">[13]MEMORIAL!#REF!</definedName>
    <definedName name="STOT09.010.0380">#REF!</definedName>
    <definedName name="STOT09.010.0380_1" localSheetId="11">[13]MEMORIAL!#REF!</definedName>
    <definedName name="STOT09.010.0380_1">#REF!</definedName>
    <definedName name="STOT09.010.0430" localSheetId="11">[21]MEMORIAL!#REF!</definedName>
    <definedName name="STOT09.010.0430">#REF!</definedName>
    <definedName name="STOT09.010.0430_1" localSheetId="11">[13]MEMORIAL!#REF!</definedName>
    <definedName name="STOT09.010.0430_1">#REF!</definedName>
    <definedName name="STOT09.010.0470" localSheetId="11">[21]MEMORIAL!#REF!</definedName>
    <definedName name="STOT09.010.0470">#REF!</definedName>
    <definedName name="STOT09.010.0470_1" localSheetId="11">[13]MEMORIAL!#REF!</definedName>
    <definedName name="STOT09.010.0470_1">#REF!</definedName>
    <definedName name="STOT09.010.0700" localSheetId="11">[21]MEMORIAL!#REF!</definedName>
    <definedName name="STOT09.010.0700">#REF!</definedName>
    <definedName name="STOT09.010.0700_1" localSheetId="11">[13]MEMORIAL!#REF!</definedName>
    <definedName name="STOT09.010.0700_1">#REF!</definedName>
    <definedName name="STOT10.010.0140" localSheetId="11">[21]MEMORIAL!#REF!</definedName>
    <definedName name="STOT10.010.0140">#REF!</definedName>
    <definedName name="STOT10.010.0140_1" localSheetId="11">[13]MEMORIAL!#REF!</definedName>
    <definedName name="STOT10.010.0140_1">#REF!</definedName>
    <definedName name="STOT10.010.0150" localSheetId="11">[13]MEMORIAL!#REF!</definedName>
    <definedName name="STOT10.010.0150">#REF!</definedName>
    <definedName name="STOT10.010.0150_1" localSheetId="11">[13]MEMORIAL!#REF!</definedName>
    <definedName name="STOT10.010.0150_1">#REF!</definedName>
    <definedName name="STOT10.010.0180" localSheetId="11">[21]MEMORIAL!#REF!</definedName>
    <definedName name="STOT10.010.0180">#REF!</definedName>
    <definedName name="STOT10.010.0180_1" localSheetId="11">[13]MEMORIAL!#REF!</definedName>
    <definedName name="STOT10.010.0180_1">#REF!</definedName>
    <definedName name="STOT10.010.0270" localSheetId="11">[21]MEMORIAL!#REF!</definedName>
    <definedName name="STOT10.010.0270">#REF!</definedName>
    <definedName name="STOT10.010.0270_1" localSheetId="11">[22]MEMORIAL!#REF!</definedName>
    <definedName name="STOT10.010.0270_1">#REF!</definedName>
    <definedName name="STOT10.010.0280" localSheetId="11">[21]MEMORIAL!#REF!</definedName>
    <definedName name="STOT10.010.0280">#REF!</definedName>
    <definedName name="STOT10.010.0280_1" localSheetId="11">[13]MEMORIAL!#REF!</definedName>
    <definedName name="STOT10.010.0280_1">#REF!</definedName>
    <definedName name="STOT10.010.0290" localSheetId="11">[13]MEMORIAL!#REF!</definedName>
    <definedName name="STOT10.010.0290">#REF!</definedName>
    <definedName name="STOT10.010.0290_1" localSheetId="11">[13]MEMORIAL!#REF!</definedName>
    <definedName name="STOT10.010.0290_1">#REF!</definedName>
    <definedName name="STOT10.010.0298" localSheetId="11">[13]MEMORIAL!#REF!</definedName>
    <definedName name="STOT10.010.0298">#REF!</definedName>
    <definedName name="STOT10.010.0298_1" localSheetId="11">[13]MEMORIAL!#REF!</definedName>
    <definedName name="STOT10.010.0298_1">#REF!</definedName>
    <definedName name="STOT10.010.0307" localSheetId="11">[21]MEMORIAL!#REF!</definedName>
    <definedName name="STOT10.010.0307">#REF!</definedName>
    <definedName name="STOT10.010.0307_1" localSheetId="11">[13]MEMORIAL!#REF!</definedName>
    <definedName name="STOT10.010.0307_1">#REF!</definedName>
    <definedName name="STOT10.010.0308" localSheetId="11">[21]MEMORIAL!#REF!</definedName>
    <definedName name="STOT10.010.0308">#REF!</definedName>
    <definedName name="STOT10.010.0308_1" localSheetId="11">[13]MEMORIAL!#REF!</definedName>
    <definedName name="STOT10.010.0308_1">#REF!</definedName>
    <definedName name="STOT10.010.0310" localSheetId="11">[21]MEMORIAL!#REF!</definedName>
    <definedName name="STOT10.010.0310">#REF!</definedName>
    <definedName name="STOT10.010.0310_1" localSheetId="11">[13]MEMORIAL!#REF!</definedName>
    <definedName name="STOT10.010.0310_1">#REF!</definedName>
    <definedName name="STOT10.010.0330" localSheetId="11">[21]MEMORIAL!#REF!</definedName>
    <definedName name="STOT10.010.0330">#REF!</definedName>
    <definedName name="STOT10.010.0330_1" localSheetId="11">[13]MEMORIAL!#REF!</definedName>
    <definedName name="STOT10.010.0330_1">#REF!</definedName>
    <definedName name="STOT10.010.0333" localSheetId="11">[21]MEMORIAL!#REF!</definedName>
    <definedName name="STOT10.010.0333">#REF!</definedName>
    <definedName name="STOT10.010.0333_1" localSheetId="11">[13]MEMORIAL!#REF!</definedName>
    <definedName name="STOT10.010.0333_1">#REF!</definedName>
    <definedName name="STOT10.010.0350" localSheetId="11">[13]MEMORIAL!#REF!</definedName>
    <definedName name="STOT10.010.0350">#REF!</definedName>
    <definedName name="STOT10.010.0350_1" localSheetId="11">[13]MEMORIAL!#REF!</definedName>
    <definedName name="STOT10.010.0350_1">#REF!</definedName>
    <definedName name="STOT10.010.0380" localSheetId="11">[21]MEMORIAL!#REF!</definedName>
    <definedName name="STOT10.010.0380">#REF!</definedName>
    <definedName name="STOT10.010.0380_1" localSheetId="11">[13]MEMORIAL!#REF!</definedName>
    <definedName name="STOT10.010.0380_1">#REF!</definedName>
    <definedName name="STOT10.010.0400" localSheetId="11">[21]MEMORIAL!#REF!</definedName>
    <definedName name="STOT10.010.0400">#REF!</definedName>
    <definedName name="STOT10.010.0400_1" localSheetId="11">[13]MEMORIAL!#REF!</definedName>
    <definedName name="STOT10.010.0400_1">#REF!</definedName>
    <definedName name="STOT10.010.0431" localSheetId="11">[21]MEMORIAL!#REF!</definedName>
    <definedName name="STOT10.010.0431">#REF!</definedName>
    <definedName name="STOT10.010.0431_1" localSheetId="11">[13]MEMORIAL!#REF!</definedName>
    <definedName name="STOT10.010.0431_1">#REF!</definedName>
    <definedName name="STOT10.010.1100" localSheetId="11">[13]MEMORIAL!#REF!</definedName>
    <definedName name="STOT10.010.1100">#REF!</definedName>
    <definedName name="STOT10.010.1100_1" localSheetId="11">[13]MEMORIAL!#REF!</definedName>
    <definedName name="STOT10.010.1100_1">#REF!</definedName>
    <definedName name="STOT10.010.1110" localSheetId="11">[13]MEMORIAL!#REF!</definedName>
    <definedName name="STOT10.010.1110">#REF!</definedName>
    <definedName name="STOT10.010.1110_1" localSheetId="11">[13]MEMORIAL!#REF!</definedName>
    <definedName name="STOT10.010.1110_1">#REF!</definedName>
    <definedName name="STOT12.010.0010" localSheetId="11">[13]MEMORIAL!#REF!</definedName>
    <definedName name="STOT12.010.0010">#REF!</definedName>
    <definedName name="STOT12.010.0010_1" localSheetId="11">[13]MEMORIAL!#REF!</definedName>
    <definedName name="STOT12.010.0010_1">#REF!</definedName>
    <definedName name="STOT12.010.0050" localSheetId="11">[13]MEMORIAL!#REF!</definedName>
    <definedName name="STOT12.010.0050">#REF!</definedName>
    <definedName name="STOT12.010.0050_1" localSheetId="11">[13]MEMORIAL!#REF!</definedName>
    <definedName name="STOT12.010.0050_1">#REF!</definedName>
    <definedName name="STOT12.010.0060" localSheetId="11">[21]MEMORIAL!#REF!</definedName>
    <definedName name="STOT12.010.0060">#REF!</definedName>
    <definedName name="STOT12.010.0060_1" localSheetId="11">[13]MEMORIAL!#REF!</definedName>
    <definedName name="STOT12.010.0060_1">#REF!</definedName>
    <definedName name="STOT12.010.0210" localSheetId="11">[21]MEMORIAL!#REF!</definedName>
    <definedName name="STOT12.010.0210">#REF!</definedName>
    <definedName name="STOT12.010.0210_1" localSheetId="11">[13]MEMORIAL!#REF!</definedName>
    <definedName name="STOT12.010.0210_1">#REF!</definedName>
    <definedName name="STOT12.010.0300" localSheetId="11">[13]MEMORIAL!#REF!</definedName>
    <definedName name="STOT12.010.0300">#REF!</definedName>
    <definedName name="STOT12.010.0300_1" localSheetId="11">[13]MEMORIAL!#REF!</definedName>
    <definedName name="STOT12.010.0300_1">#REF!</definedName>
    <definedName name="STOT12.010.0340" localSheetId="11">[13]MEMORIAL!#REF!</definedName>
    <definedName name="STOT12.010.0340">#REF!</definedName>
    <definedName name="STOT12.010.0340_1" localSheetId="11">[13]MEMORIAL!#REF!</definedName>
    <definedName name="STOT12.010.0340_1">#REF!</definedName>
    <definedName name="STOT12.010.0360" localSheetId="11">[21]MEMORIAL!#REF!</definedName>
    <definedName name="STOT12.010.0360">#REF!</definedName>
    <definedName name="STOT12.010.0360_1" localSheetId="11">[13]MEMORIAL!#REF!</definedName>
    <definedName name="STOT12.010.0360_1">#REF!</definedName>
    <definedName name="STOT12.010.0550" localSheetId="11">[21]MEMORIAL!#REF!</definedName>
    <definedName name="STOT12.010.0550">#REF!</definedName>
    <definedName name="STOT12.010.0550_1" localSheetId="11">[13]MEMORIAL!#REF!</definedName>
    <definedName name="STOT12.010.0550_1">#REF!</definedName>
    <definedName name="STOT13.010.0030" localSheetId="11">[21]MEMORIAL!#REF!</definedName>
    <definedName name="STOT13.010.0030">#REF!</definedName>
    <definedName name="STOT13.010.0030_1" localSheetId="11">[22]MEMORIAL!#REF!</definedName>
    <definedName name="STOT13.010.0030_1">#REF!</definedName>
    <definedName name="STOT13.010.0040" localSheetId="11">[13]MEMORIAL!#REF!</definedName>
    <definedName name="STOT13.010.0040">#REF!</definedName>
    <definedName name="STOT13.010.0040_1" localSheetId="11">[13]MEMORIAL!#REF!</definedName>
    <definedName name="STOT13.010.0040_1">#REF!</definedName>
    <definedName name="STOT13.010.0090" localSheetId="11">[21]MEMORIAL!#REF!</definedName>
    <definedName name="STOT13.010.0090">#REF!</definedName>
    <definedName name="STOT13.010.0090_1" localSheetId="11">[13]MEMORIAL!#REF!</definedName>
    <definedName name="STOT13.010.0090_1">#REF!</definedName>
    <definedName name="STOT13.010.0100" localSheetId="11">[13]MEMORIAL!#REF!</definedName>
    <definedName name="STOT13.010.0100">#REF!</definedName>
    <definedName name="STOT13.010.0100_1" localSheetId="11">[13]MEMORIAL!#REF!</definedName>
    <definedName name="STOT13.010.0100_1">#REF!</definedName>
    <definedName name="STOT13.010.0110" localSheetId="11">[21]MEMORIAL!#REF!</definedName>
    <definedName name="STOT13.010.0110">#REF!</definedName>
    <definedName name="STOT13.010.0110_1" localSheetId="11">[13]MEMORIAL!#REF!</definedName>
    <definedName name="STOT13.010.0110_1">#REF!</definedName>
    <definedName name="STOT13.010.0350" localSheetId="11">[13]MEMORIAL!#REF!</definedName>
    <definedName name="STOT13.010.0350">#REF!</definedName>
    <definedName name="STOT13.010.0350_1" localSheetId="11">[13]MEMORIAL!#REF!</definedName>
    <definedName name="STOT13.010.0350_1">#REF!</definedName>
    <definedName name="STOT13.010.0360" localSheetId="11">[13]MEMORIAL!#REF!</definedName>
    <definedName name="STOT13.010.0360">#REF!</definedName>
    <definedName name="STOT13.010.0360_1" localSheetId="11">[13]MEMORIAL!#REF!</definedName>
    <definedName name="STOT13.010.0360_1">#REF!</definedName>
    <definedName name="STOT13.010.0380" localSheetId="11">[13]MEMORIAL!#REF!</definedName>
    <definedName name="STOT13.010.0380">#REF!</definedName>
    <definedName name="STOT13.010.0380_1" localSheetId="11">[13]MEMORIAL!#REF!</definedName>
    <definedName name="STOT13.010.0380_1">#REF!</definedName>
    <definedName name="STOT13.010.0410" localSheetId="11">[13]MEMORIAL!#REF!</definedName>
    <definedName name="STOT13.010.0410">#REF!</definedName>
    <definedName name="STOT13.010.0410_1" localSheetId="11">[13]MEMORIAL!#REF!</definedName>
    <definedName name="STOT13.010.0410_1">#REF!</definedName>
    <definedName name="STOT13.010.0860" localSheetId="11">[13]MEMORIAL!#REF!</definedName>
    <definedName name="STOT13.010.0860">#REF!</definedName>
    <definedName name="STOT13.010.0860_1" localSheetId="11">[13]MEMORIAL!#REF!</definedName>
    <definedName name="STOT13.010.0860_1">#REF!</definedName>
    <definedName name="STOT13.010.0880" localSheetId="11">[13]MEMORIAL!#REF!</definedName>
    <definedName name="STOT13.010.0880">#REF!</definedName>
    <definedName name="STOT13.010.0880_1" localSheetId="11">[13]MEMORIAL!#REF!</definedName>
    <definedName name="STOT13.010.0880_1">#REF!</definedName>
    <definedName name="STOT13.010.1200" localSheetId="11">[21]MEMORIAL!#REF!</definedName>
    <definedName name="STOT13.010.1200">#REF!</definedName>
    <definedName name="STOT13.010.1200_1" localSheetId="11">[13]MEMORIAL!#REF!</definedName>
    <definedName name="STOT13.010.1200_1">#REF!</definedName>
    <definedName name="STOT15.010.0010" localSheetId="16">#REF!</definedName>
    <definedName name="STOT15.010.0010" localSheetId="10">#REF!</definedName>
    <definedName name="STOT15.010.0010" localSheetId="11">#REF!</definedName>
    <definedName name="STOT15.010.0010" localSheetId="1">#REF!</definedName>
    <definedName name="STOT15.010.0010" localSheetId="2">#REF!</definedName>
    <definedName name="STOT15.010.0010">#REF!</definedName>
    <definedName name="STOT15.010.0010_1" localSheetId="10">[22]MEMORIAL!#REF!</definedName>
    <definedName name="STOT15.010.0010_1" localSheetId="11">[22]MEMORIAL!#REF!</definedName>
    <definedName name="STOT15.010.0010_1" localSheetId="1">#REF!</definedName>
    <definedName name="STOT15.010.0010_1" localSheetId="2">#REF!</definedName>
    <definedName name="STOT15.010.0010_1">#REF!</definedName>
    <definedName name="STOT15.010.0040" localSheetId="16">#REF!</definedName>
    <definedName name="STOT15.010.0040" localSheetId="10">#REF!</definedName>
    <definedName name="STOT15.010.0040" localSheetId="11">#REF!</definedName>
    <definedName name="STOT15.010.0040" localSheetId="1">#REF!</definedName>
    <definedName name="STOT15.010.0040" localSheetId="2">#REF!</definedName>
    <definedName name="STOT15.010.0040">#REF!</definedName>
    <definedName name="STOT15.010.0040_1" localSheetId="10">[26]MEMORIAL!#REF!</definedName>
    <definedName name="STOT15.010.0040_1" localSheetId="11">[26]MEMORIAL!#REF!</definedName>
    <definedName name="STOT15.010.0040_1" localSheetId="1">#REF!</definedName>
    <definedName name="STOT15.010.0040_1" localSheetId="2">#REF!</definedName>
    <definedName name="STOT15.010.0040_1">#REF!</definedName>
    <definedName name="STOT15.010.0055" localSheetId="16">#REF!</definedName>
    <definedName name="STOT15.010.0055" localSheetId="10">#REF!</definedName>
    <definedName name="STOT15.010.0055" localSheetId="11">#REF!</definedName>
    <definedName name="STOT15.010.0055" localSheetId="1">#REF!</definedName>
    <definedName name="STOT15.010.0055" localSheetId="2">#REF!</definedName>
    <definedName name="STOT15.010.0055">#REF!</definedName>
    <definedName name="STOT15.010.0055_1" localSheetId="10">[22]MEMORIAL!#REF!</definedName>
    <definedName name="STOT15.010.0055_1" localSheetId="11">[22]MEMORIAL!#REF!</definedName>
    <definedName name="STOT15.010.0055_1" localSheetId="1">#REF!</definedName>
    <definedName name="STOT15.010.0055_1" localSheetId="2">#REF!</definedName>
    <definedName name="STOT15.010.0055_1">#REF!</definedName>
    <definedName name="STOT15.010.0140" localSheetId="10">[21]MEMORIAL!#REF!</definedName>
    <definedName name="STOT15.010.0140" localSheetId="11">[21]MEMORIAL!#REF!</definedName>
    <definedName name="STOT15.010.0140" localSheetId="1">#REF!</definedName>
    <definedName name="STOT15.010.0140" localSheetId="2">#REF!</definedName>
    <definedName name="STOT15.010.0140">#REF!</definedName>
    <definedName name="STOT15.010.0140_1" localSheetId="11">[22]MEMORIAL!#REF!</definedName>
    <definedName name="STOT15.010.0140_1" localSheetId="1">#REF!</definedName>
    <definedName name="STOT15.010.0140_1" localSheetId="2">#REF!</definedName>
    <definedName name="STOT15.010.0140_1">#REF!</definedName>
    <definedName name="STOT15.010.0181" localSheetId="11">[21]MEMORIAL!#REF!</definedName>
    <definedName name="STOT15.010.0181" localSheetId="1">#REF!</definedName>
    <definedName name="STOT15.010.0181" localSheetId="2">#REF!</definedName>
    <definedName name="STOT15.010.0181">#REF!</definedName>
    <definedName name="STOT15.010.0181_1" localSheetId="11">[22]MEMORIAL!#REF!</definedName>
    <definedName name="STOT15.010.0181_1" localSheetId="1">#REF!</definedName>
    <definedName name="STOT15.010.0181_1" localSheetId="2">#REF!</definedName>
    <definedName name="STOT15.010.0181_1">#REF!</definedName>
    <definedName name="STOT15.010.0270" localSheetId="11">[21]MEMORIAL!#REF!</definedName>
    <definedName name="STOT15.010.0270">#REF!</definedName>
    <definedName name="STOT15.010.0270_1" localSheetId="11">[13]MEMORIAL!#REF!</definedName>
    <definedName name="STOT15.010.0270_1">#REF!</definedName>
    <definedName name="STOT15.010.0280" localSheetId="11">[21]MEMORIAL!#REF!</definedName>
    <definedName name="STOT15.010.0280">#REF!</definedName>
    <definedName name="STOT15.010.0280_1" localSheetId="11">[13]MEMORIAL!#REF!</definedName>
    <definedName name="STOT15.010.0280_1">#REF!</definedName>
    <definedName name="STOT15.010.0290" localSheetId="11">[13]MEMORIAL!#REF!</definedName>
    <definedName name="STOT15.010.0290">#REF!</definedName>
    <definedName name="STOT15.010.0290_1" localSheetId="11">[13]MEMORIAL!#REF!</definedName>
    <definedName name="STOT15.010.0290_1">#REF!</definedName>
    <definedName name="stot16.010.0000" localSheetId="11">[21]MEMORIAL!#REF!</definedName>
    <definedName name="stot16.010.0000">#REF!</definedName>
    <definedName name="STOT16.010.0010" localSheetId="11">[21]MEMORIAL!#REF!</definedName>
    <definedName name="STOT16.010.0010">#REF!</definedName>
    <definedName name="STOT16.010.0010_1" localSheetId="11">[13]MEMORIAL!#REF!</definedName>
    <definedName name="STOT16.010.0010_1">#REF!</definedName>
    <definedName name="STOT16.010.0060" localSheetId="11">[21]MEMORIAL!#REF!</definedName>
    <definedName name="STOT16.010.0060">#REF!</definedName>
    <definedName name="STOT16.010.0060_1" localSheetId="11">[13]MEMORIAL!#REF!</definedName>
    <definedName name="STOT16.010.0060_1">#REF!</definedName>
    <definedName name="stot16.010.0061" localSheetId="11">[21]MEMORIAL!#REF!</definedName>
    <definedName name="stot16.010.0061">#REF!</definedName>
    <definedName name="STOT16.010.0110" localSheetId="11">[21]MEMORIAL!#REF!</definedName>
    <definedName name="STOT16.010.0110">#REF!</definedName>
    <definedName name="STOT16.010.0110_1" localSheetId="11">[13]MEMORIAL!#REF!</definedName>
    <definedName name="STOT16.010.0110_1">#REF!</definedName>
    <definedName name="STOT16.010.0120" localSheetId="11">[21]MEMORIAL!#REF!</definedName>
    <definedName name="STOT16.010.0120">#REF!</definedName>
    <definedName name="STOT16.010.0120_1" localSheetId="11">[13]MEMORIAL!#REF!</definedName>
    <definedName name="STOT16.010.0120_1">#REF!</definedName>
    <definedName name="STOT16.010.0150" localSheetId="11">[13]MEMORIAL!#REF!</definedName>
    <definedName name="STOT16.010.0150">#REF!</definedName>
    <definedName name="STOT16.010.0150_1" localSheetId="11">[13]MEMORIAL!#REF!</definedName>
    <definedName name="STOT16.010.0150_1">#REF!</definedName>
    <definedName name="STOT16.010.0170" localSheetId="11">[21]MEMORIAL!#REF!</definedName>
    <definedName name="STOT16.010.0170">#REF!</definedName>
    <definedName name="STOT16.010.0170_1" localSheetId="11">[13]MEMORIAL!#REF!</definedName>
    <definedName name="STOT16.010.0170_1">#REF!</definedName>
    <definedName name="STOT17.010.0080" localSheetId="11">[21]MEMORIAL!#REF!</definedName>
    <definedName name="STOT17.010.0080">#REF!</definedName>
    <definedName name="STOT17.010.0080_1" localSheetId="11">[13]MEMORIAL!#REF!</definedName>
    <definedName name="STOT17.010.0080_1">#REF!</definedName>
    <definedName name="STOT17.010.0100" localSheetId="11">[13]MEMORIAL!#REF!</definedName>
    <definedName name="STOT17.010.0100">#REF!</definedName>
    <definedName name="STOT17.010.0100_1" localSheetId="11">[13]MEMORIAL!#REF!</definedName>
    <definedName name="STOT17.010.0100_1">#REF!</definedName>
    <definedName name="STOT17.010.0120" localSheetId="11">[13]MEMORIAL!#REF!</definedName>
    <definedName name="STOT17.010.0120">#REF!</definedName>
    <definedName name="STOT17.010.0120_1" localSheetId="11">[13]MEMORIAL!#REF!</definedName>
    <definedName name="STOT17.010.0120_1">#REF!</definedName>
    <definedName name="STOT17.010.0150" localSheetId="11">[21]MEMORIAL!#REF!</definedName>
    <definedName name="STOT17.010.0150">#REF!</definedName>
    <definedName name="STOT17.010.0150_1" localSheetId="11">[13]MEMORIAL!#REF!</definedName>
    <definedName name="STOT17.010.0150_1">#REF!</definedName>
    <definedName name="STOT17.010.0290" localSheetId="11">[21]MEMORIAL!#REF!</definedName>
    <definedName name="STOT17.010.0290">#REF!</definedName>
    <definedName name="STOT17.010.0290_1" localSheetId="11">[13]MEMORIAL!#REF!</definedName>
    <definedName name="STOT17.010.0290_1">#REF!</definedName>
    <definedName name="STOT17.010.0350" localSheetId="11">[13]MEMORIAL!#REF!</definedName>
    <definedName name="STOT17.010.0350">#REF!</definedName>
    <definedName name="STOT17.010.0350_1" localSheetId="11">[13]MEMORIAL!#REF!</definedName>
    <definedName name="STOT17.010.0350_1">#REF!</definedName>
    <definedName name="STOT17.010.0390" localSheetId="11">[21]MEMORIAL!#REF!</definedName>
    <definedName name="STOT17.010.0390">#REF!</definedName>
    <definedName name="STOT17.010.0390_1" localSheetId="11">[22]MEMORIAL!#REF!</definedName>
    <definedName name="STOT17.010.0390_1">#REF!</definedName>
    <definedName name="STOT17.010.0437" localSheetId="11">[21]MEMORIAL!#REF!</definedName>
    <definedName name="STOT17.010.0437">#REF!</definedName>
    <definedName name="STOT17.010.0437_1" localSheetId="11">[22]MEMORIAL!#REF!</definedName>
    <definedName name="STOT17.010.0437_1">#REF!</definedName>
    <definedName name="STOT17.010.0602" localSheetId="11">[21]MEMORIAL!#REF!</definedName>
    <definedName name="STOT17.010.0602">#REF!</definedName>
    <definedName name="STOT17.010.0602_1" localSheetId="11">[22]MEMORIAL!#REF!</definedName>
    <definedName name="STOT17.010.0602_1">#REF!</definedName>
    <definedName name="STOTCOMPOS01" localSheetId="11">[21]MEMORIAL!#REF!</definedName>
    <definedName name="STOTCOMPOS01">#REF!</definedName>
    <definedName name="STOTCOMPOS01_1" localSheetId="11">[22]MEMORIAL!#REF!</definedName>
    <definedName name="STOTCOMPOS01_1">#REF!</definedName>
    <definedName name="Super" localSheetId="16">#REF!</definedName>
    <definedName name="Super" localSheetId="10">#REF!</definedName>
    <definedName name="Super" localSheetId="11">#REF!</definedName>
    <definedName name="Super" localSheetId="1">#REF!</definedName>
    <definedName name="Super" localSheetId="2">#REF!</definedName>
    <definedName name="Super">#REF!</definedName>
    <definedName name="SUPERFICIE" localSheetId="11">[11]Plan1!$A$65:$A$69</definedName>
    <definedName name="SUPERFICIE" localSheetId="1">#REF!</definedName>
    <definedName name="SUPERFICIE" localSheetId="2">#REF!</definedName>
    <definedName name="SUPERFICIE">#REF!</definedName>
    <definedName name="sxrhysxdd" localSheetId="16">#REF!</definedName>
    <definedName name="sxrhysxdd" localSheetId="4">#REF!</definedName>
    <definedName name="sxrhysxdd" localSheetId="11">#REF!</definedName>
    <definedName name="sxrhysxdd">#REF!</definedName>
    <definedName name="T" localSheetId="16">#REF!</definedName>
    <definedName name="T" localSheetId="11">#REF!</definedName>
    <definedName name="T">#REF!</definedName>
    <definedName name="tab">#REF!</definedName>
    <definedName name="Tabela" localSheetId="16">#REF!</definedName>
    <definedName name="Tabela" localSheetId="10">#REF!</definedName>
    <definedName name="Tabela" localSheetId="11">#REF!</definedName>
    <definedName name="Tabela">#REF!</definedName>
    <definedName name="Tabela_1" localSheetId="16">#REF!</definedName>
    <definedName name="Tabela_1" localSheetId="11">#REF!</definedName>
    <definedName name="Tabela_1">#REF!</definedName>
    <definedName name="Tabela_1_6" localSheetId="16">#REF!</definedName>
    <definedName name="Tabela_1_6" localSheetId="11">#REF!</definedName>
    <definedName name="Tabela_1_6">#REF!</definedName>
    <definedName name="Tabela_10" localSheetId="16">#REF!</definedName>
    <definedName name="Tabela_10" localSheetId="11">#REF!</definedName>
    <definedName name="Tabela_10">#REF!</definedName>
    <definedName name="Tabela_2" localSheetId="16">#REF!</definedName>
    <definedName name="Tabela_2" localSheetId="11">#REF!</definedName>
    <definedName name="Tabela_2">#REF!</definedName>
    <definedName name="Tabela_3" localSheetId="16">#REF!</definedName>
    <definedName name="Tabela_3" localSheetId="11">#REF!</definedName>
    <definedName name="Tabela_3">#REF!</definedName>
    <definedName name="Tabela_4" localSheetId="16">#REF!</definedName>
    <definedName name="Tabela_4" localSheetId="11">#REF!</definedName>
    <definedName name="Tabela_4">#REF!</definedName>
    <definedName name="Tabela_5" localSheetId="16">#REF!</definedName>
    <definedName name="Tabela_5" localSheetId="11">#REF!</definedName>
    <definedName name="Tabela_5">#REF!</definedName>
    <definedName name="Tabela_5_1" localSheetId="16">#REF!</definedName>
    <definedName name="Tabela_5_1" localSheetId="11">#REF!</definedName>
    <definedName name="Tabela_5_1">#REF!</definedName>
    <definedName name="Tabela_6" localSheetId="16">#REF!</definedName>
    <definedName name="Tabela_6" localSheetId="11">#REF!</definedName>
    <definedName name="Tabela_6">#REF!</definedName>
    <definedName name="tabela1" localSheetId="11">#REF!</definedName>
    <definedName name="tabela1">#REF!</definedName>
    <definedName name="TableName">"Dummy"</definedName>
    <definedName name="TABREC">#REF!</definedName>
    <definedName name="teca1" localSheetId="10">#REF!,#REF!</definedName>
    <definedName name="teca1" localSheetId="11">#REF!,#REF!</definedName>
    <definedName name="teca1">#REF!,#REF!</definedName>
    <definedName name="tecn" localSheetId="16">#REF!</definedName>
    <definedName name="tecn" localSheetId="10">#REF!</definedName>
    <definedName name="tecn" localSheetId="11">#REF!</definedName>
    <definedName name="tecn">#REF!</definedName>
    <definedName name="tecni" localSheetId="16">#REF!</definedName>
    <definedName name="tecni" localSheetId="11">#REF!</definedName>
    <definedName name="tecni">#REF!</definedName>
    <definedName name="tecnic" localSheetId="16">#REF!</definedName>
    <definedName name="tecnic" localSheetId="11">#REF!</definedName>
    <definedName name="tecnic">#REF!</definedName>
    <definedName name="TECNICA" localSheetId="16">#REF!</definedName>
    <definedName name="TECNICA" localSheetId="11">#REF!</definedName>
    <definedName name="TECNICA">#REF!</definedName>
    <definedName name="TECNICA_17" localSheetId="16">#REF!</definedName>
    <definedName name="TECNICA_17" localSheetId="11">#REF!</definedName>
    <definedName name="TECNICA_17">#REF!</definedName>
    <definedName name="TECNICA_8" localSheetId="16">#REF!</definedName>
    <definedName name="TECNICA_8" localSheetId="11">#REF!</definedName>
    <definedName name="TECNICA_8">#REF!</definedName>
    <definedName name="tera" localSheetId="11">#REF!,#REF!</definedName>
    <definedName name="tera">#REF!,#REF!</definedName>
    <definedName name="terdvvd" localSheetId="11">[13]MEMORIAL!#REF!</definedName>
    <definedName name="terdvvd">#REF!</definedName>
    <definedName name="TERRA" localSheetId="16">#REF!</definedName>
    <definedName name="TERRA" localSheetId="10">#REF!</definedName>
    <definedName name="TERRA" localSheetId="11">#REF!</definedName>
    <definedName name="TERRA" localSheetId="1">#REF!</definedName>
    <definedName name="TERRA" localSheetId="2">#REF!</definedName>
    <definedName name="TERRA">#REF!</definedName>
    <definedName name="TERRA_1" localSheetId="16">#REF!</definedName>
    <definedName name="TERRA_1" localSheetId="11">#REF!</definedName>
    <definedName name="TERRA_1">#REF!</definedName>
    <definedName name="TERRAPL" localSheetId="16">#REF!</definedName>
    <definedName name="TERRAPL" localSheetId="11">#REF!</definedName>
    <definedName name="TERRAPL">#REF!</definedName>
    <definedName name="TERRAPL_17" localSheetId="16">#REF!</definedName>
    <definedName name="TERRAPL_17" localSheetId="11">#REF!</definedName>
    <definedName name="TERRAPL_17">#REF!</definedName>
    <definedName name="TERRAPL_8" localSheetId="16">#REF!</definedName>
    <definedName name="TERRAPL_8" localSheetId="11">#REF!</definedName>
    <definedName name="TERRAPL_8">#REF!</definedName>
    <definedName name="terraple" localSheetId="16">#REF!</definedName>
    <definedName name="terraple" localSheetId="11">#REF!</definedName>
    <definedName name="terraple">#REF!</definedName>
    <definedName name="terraplen" localSheetId="16">#REF!</definedName>
    <definedName name="terraplen" localSheetId="11">#REF!</definedName>
    <definedName name="terraplen">#REF!</definedName>
    <definedName name="terraplenagem" localSheetId="16">#REF!</definedName>
    <definedName name="terraplenagem" localSheetId="11">#REF!</definedName>
    <definedName name="terraplenagem">#REF!</definedName>
    <definedName name="TEST" localSheetId="11">'[27]17-MOI'!#REF!</definedName>
    <definedName name="TEST">#REF!</definedName>
    <definedName name="teste" localSheetId="11">'[8]PLANILHA DE QUANT. E CUSTOS A'!#REF!</definedName>
    <definedName name="teste" localSheetId="12">#REF!</definedName>
    <definedName name="teste" localSheetId="14">#REF!</definedName>
    <definedName name="teste">#REF!</definedName>
    <definedName name="teste_teste_aggs" localSheetId="10">#REF!</definedName>
    <definedName name="teste_teste_aggs" localSheetId="11">#REF!</definedName>
    <definedName name="teste_teste_aggs" localSheetId="12">#REF!</definedName>
    <definedName name="teste_teste_aggs" localSheetId="14">#REF!</definedName>
    <definedName name="teste_teste_aggs">#REF!</definedName>
    <definedName name="TETOS" localSheetId="11">[11]Plan1!$A$106:$A$110</definedName>
    <definedName name="TETOS" localSheetId="1">#REF!</definedName>
    <definedName name="TETOS" localSheetId="2">#REF!</definedName>
    <definedName name="TETOS">#REF!</definedName>
    <definedName name="thdfa" localSheetId="16">#REF!</definedName>
    <definedName name="thdfa" localSheetId="10">#REF!</definedName>
    <definedName name="thdfa" localSheetId="11">#REF!</definedName>
    <definedName name="thdfa" localSheetId="12">#REF!</definedName>
    <definedName name="thdfa" localSheetId="14">#REF!</definedName>
    <definedName name="thdfa">#REF!</definedName>
    <definedName name="TIPO" localSheetId="11">[11]Plan1!$A$73:$A$79</definedName>
    <definedName name="TIPO" localSheetId="1">#REF!</definedName>
    <definedName name="TIPO" localSheetId="2">#REF!</definedName>
    <definedName name="TIPO">#REF!</definedName>
    <definedName name="_xlnm.Print_Titles" localSheetId="16">'1.4'!$B:$B,'1.4'!$6:$10</definedName>
    <definedName name="_xlnm.Print_Titles" localSheetId="3">'10 - EVOLUÇÃO FINANCEIRA'!$8:$9</definedName>
    <definedName name="_xlnm.Print_Titles" localSheetId="4">'11 - RESUMO'!$1:$14</definedName>
    <definedName name="_xlnm.Print_Titles" localSheetId="5">'12 - FINANCEIRA'!$2:$14</definedName>
    <definedName name="_xlnm.Print_Titles" localSheetId="6">'13 - MEMÓRIA'!$1:$12</definedName>
    <definedName name="_xlnm.Print_Titles" localSheetId="8">'15.1 VERIFICAÇÃO MT'!$1:$3</definedName>
    <definedName name="_xlnm.Print_Titles" localSheetId="7">'15.2 - VERIFICAÇÃO AMBIENTAL'!$1:$3</definedName>
    <definedName name="_xlnm.Print_Titles" localSheetId="10">'15.2 - VERIFICAÇÃO AMBIENTAL 2'!$1:$3</definedName>
    <definedName name="_xlnm.Print_Titles" localSheetId="1">'9.1 - CRONOGRAMA'!$B:$D,'9.1 - CRONOGRAMA'!$1:$9</definedName>
    <definedName name="_xlnm.Print_Titles">#REF!</definedName>
    <definedName name="tot" localSheetId="16">#REF!</definedName>
    <definedName name="tot" localSheetId="10">#REF!</definedName>
    <definedName name="tot" localSheetId="11">#REF!</definedName>
    <definedName name="tot" localSheetId="1">#REF!</definedName>
    <definedName name="tot" localSheetId="2">#REF!</definedName>
    <definedName name="tot">#REF!</definedName>
    <definedName name="TOTAL" localSheetId="16">#REF!</definedName>
    <definedName name="TOTAL" localSheetId="4">#REF!</definedName>
    <definedName name="TOTAL" localSheetId="11">#REF!</definedName>
    <definedName name="TOTAL" localSheetId="12">#REF!</definedName>
    <definedName name="TOTAL" localSheetId="14">#REF!</definedName>
    <definedName name="TOTAL">#REF!</definedName>
    <definedName name="TOTAL_17" localSheetId="16">#REF!</definedName>
    <definedName name="TOTAL_17" localSheetId="4">#REF!</definedName>
    <definedName name="TOTAL_17" localSheetId="11">#REF!</definedName>
    <definedName name="TOTAL_17">#REF!</definedName>
    <definedName name="TOTAL_8" localSheetId="16">#REF!</definedName>
    <definedName name="TOTAL_8" localSheetId="4">#REF!</definedName>
    <definedName name="TOTAL_8" localSheetId="11">#REF!</definedName>
    <definedName name="TOTAL_8">#REF!</definedName>
    <definedName name="totalg" localSheetId="16">#REF!</definedName>
    <definedName name="totalg" localSheetId="11">#REF!</definedName>
    <definedName name="totalg">#REF!</definedName>
    <definedName name="totalissimo" localSheetId="16">#REF!</definedName>
    <definedName name="totalissimo" localSheetId="11">#REF!</definedName>
    <definedName name="totalissimo">#REF!</definedName>
    <definedName name="TOTALMATERIAL" localSheetId="16">#REF!</definedName>
    <definedName name="TOTALMATERIAL" localSheetId="11">#REF!</definedName>
    <definedName name="TOTALMATERIAL">#REF!</definedName>
    <definedName name="TOTALMATERIAL_1" localSheetId="16">#REF!</definedName>
    <definedName name="TOTALMATERIAL_1" localSheetId="11">#REF!</definedName>
    <definedName name="TOTALMATERIAL_1">#REF!</definedName>
    <definedName name="TOTALSERVIÇO" localSheetId="11">'[28]Serviços Água'!#REF!</definedName>
    <definedName name="TOTALSERVIÇO">#REF!</definedName>
    <definedName name="TOTALSERVIÇO_1" localSheetId="16">#REF!</definedName>
    <definedName name="TOTALSERVIÇO_1" localSheetId="10">#REF!</definedName>
    <definedName name="TOTALSERVIÇO_1" localSheetId="11">#REF!</definedName>
    <definedName name="TOTALSERVIÇO_1" localSheetId="1">#REF!</definedName>
    <definedName name="TOTALSERVIÇO_1" localSheetId="2">#REF!</definedName>
    <definedName name="TOTALSERVIÇO_1">#REF!</definedName>
    <definedName name="totaltotal" localSheetId="16">#REF!</definedName>
    <definedName name="totaltotal" localSheetId="11">#REF!</definedName>
    <definedName name="totaltotal" localSheetId="1">#REF!</definedName>
    <definedName name="totaltotal" localSheetId="2">#REF!</definedName>
    <definedName name="totaltotal">#REF!</definedName>
    <definedName name="TOTFASE" localSheetId="11">'[28]Serviços Água'!#REF!</definedName>
    <definedName name="TOTFASE" localSheetId="1">#REF!</definedName>
    <definedName name="TOTFASE" localSheetId="2">#REF!</definedName>
    <definedName name="TOTFASE">#REF!</definedName>
    <definedName name="TOTFASE_1" localSheetId="11">'[14]Rede de Distribuição de Água'!#REF!</definedName>
    <definedName name="TOTFASE_1" localSheetId="1">#REF!</definedName>
    <definedName name="TOTFASE_1" localSheetId="2">#REF!</definedName>
    <definedName name="TOTFASE_1">#REF!</definedName>
    <definedName name="TOTFASE_5" localSheetId="11">'[14]Rede de Distribuição de Água'!#REF!</definedName>
    <definedName name="TOTFASE_5" localSheetId="1">#REF!</definedName>
    <definedName name="TOTFASE_5" localSheetId="2">#REF!</definedName>
    <definedName name="TOTFASE_5">#REF!</definedName>
    <definedName name="TOTFASE_6" localSheetId="11">'[14]Rede de Distribuição de Água'!#REF!</definedName>
    <definedName name="TOTFASE_6" localSheetId="1">#REF!</definedName>
    <definedName name="TOTFASE_6" localSheetId="2">#REF!</definedName>
    <definedName name="TOTFASE_6">#REF!</definedName>
    <definedName name="trdjgfxj" localSheetId="16">#REF!</definedName>
    <definedName name="trdjgfxj" localSheetId="10">#REF!</definedName>
    <definedName name="trdjgfxj" localSheetId="11">#REF!</definedName>
    <definedName name="trdjgfxj">#REF!</definedName>
    <definedName name="troca" localSheetId="11">#REF!</definedName>
    <definedName name="troca">#REF!</definedName>
    <definedName name="trocaee" localSheetId="11">#REF!</definedName>
    <definedName name="trocaee">#REF!</definedName>
    <definedName name="trocarrrr" localSheetId="11">#REF!</definedName>
    <definedName name="trocarrrr">#REF!</definedName>
    <definedName name="tudo">"$#REF!.$A$7:$G$67"</definedName>
    <definedName name="TxCresc">#REF!</definedName>
    <definedName name="um" localSheetId="10">'[10]BAIXO GUANDU ITAIMBE'!#REF!</definedName>
    <definedName name="um" localSheetId="11">'[10]BAIXO GUANDU ITAIMBE'!#REF!</definedName>
    <definedName name="um" localSheetId="1">#REF!</definedName>
    <definedName name="um" localSheetId="2">#REF!</definedName>
    <definedName name="um">#REF!</definedName>
    <definedName name="Unit." localSheetId="16">#REF!</definedName>
    <definedName name="Unit." localSheetId="10">#REF!</definedName>
    <definedName name="Unit." localSheetId="11">#REF!</definedName>
    <definedName name="Unit." localSheetId="1">#REF!</definedName>
    <definedName name="Unit." localSheetId="2">#REF!</definedName>
    <definedName name="Unit.">#REF!</definedName>
    <definedName name="USO" localSheetId="11">[11]Plan1!$A$80:$A$86</definedName>
    <definedName name="USO" localSheetId="1">#REF!</definedName>
    <definedName name="USO" localSheetId="2">#REF!</definedName>
    <definedName name="USO">#REF!</definedName>
    <definedName name="VAA" localSheetId="16">#REF!</definedName>
    <definedName name="VAA" localSheetId="10">#REF!</definedName>
    <definedName name="VAA" localSheetId="11">#REF!</definedName>
    <definedName name="VAA" localSheetId="1">#REF!</definedName>
    <definedName name="VAA" localSheetId="2">#REF!</definedName>
    <definedName name="VAA">#REF!</definedName>
    <definedName name="VAA_1" localSheetId="16">#REF!</definedName>
    <definedName name="VAA_1" localSheetId="11">#REF!</definedName>
    <definedName name="VAA_1">#REF!</definedName>
    <definedName name="VALOR_ADITIVO" localSheetId="16">#REF!</definedName>
    <definedName name="VALOR_ADITIVO" localSheetId="11">#REF!</definedName>
    <definedName name="VALOR_ADITIVO">#REF!</definedName>
    <definedName name="valor_adtidivo" localSheetId="16">#REF!</definedName>
    <definedName name="valor_adtidivo" localSheetId="11">#REF!</definedName>
    <definedName name="valor_adtidivo">#REF!</definedName>
    <definedName name="valor_cont" localSheetId="16">#REF!</definedName>
    <definedName name="valor_cont" localSheetId="11">#REF!</definedName>
    <definedName name="valor_cont">#REF!</definedName>
    <definedName name="valor_contr" localSheetId="16">#REF!</definedName>
    <definedName name="valor_contr" localSheetId="11">#REF!</definedName>
    <definedName name="valor_contr">#REF!</definedName>
    <definedName name="VALOR_CONTRATO" localSheetId="16">#REF!</definedName>
    <definedName name="VALOR_CONTRATO" localSheetId="11">#REF!</definedName>
    <definedName name="VALOR_CONTRATO">#REF!</definedName>
    <definedName name="VALOR_UNIT_ADOTADO" localSheetId="11">[11]Plan1!$A$214:$A$219</definedName>
    <definedName name="VALOR_UNIT_ADOTADO" localSheetId="1">#REF!</definedName>
    <definedName name="VALOR_UNIT_ADOTADO" localSheetId="2">#REF!</definedName>
    <definedName name="VALOR_UNIT_ADOTADO">#REF!</definedName>
    <definedName name="valoraditi" localSheetId="16">#REF!</definedName>
    <definedName name="valoraditi" localSheetId="10">#REF!</definedName>
    <definedName name="valoraditi" localSheetId="11">#REF!</definedName>
    <definedName name="valoraditi" localSheetId="1">#REF!</definedName>
    <definedName name="valoraditi" localSheetId="2">#REF!</definedName>
    <definedName name="valoraditi">#REF!</definedName>
    <definedName name="valoraditivo" localSheetId="16">#REF!</definedName>
    <definedName name="valoraditivo" localSheetId="11">#REF!</definedName>
    <definedName name="valoraditivo" localSheetId="1">#REF!</definedName>
    <definedName name="valoraditivo" localSheetId="2">#REF!</definedName>
    <definedName name="valoraditivo">#REF!</definedName>
    <definedName name="valorcon" localSheetId="16">#REF!</definedName>
    <definedName name="valorcon" localSheetId="11">#REF!</definedName>
    <definedName name="valorcon" localSheetId="1">#REF!</definedName>
    <definedName name="valorcon" localSheetId="2">#REF!</definedName>
    <definedName name="valorcon">#REF!</definedName>
    <definedName name="valorcontrato" localSheetId="16">#REF!</definedName>
    <definedName name="valorcontrato" localSheetId="11">#REF!</definedName>
    <definedName name="valorcontrato">#REF!</definedName>
    <definedName name="Valores" localSheetId="11">#REF!</definedName>
    <definedName name="Valores">#REF!</definedName>
    <definedName name="VALORES_VALORES_Listar" localSheetId="11">#REF!</definedName>
    <definedName name="VALORES_VALORES_Listar">#REF!</definedName>
    <definedName name="VAT" localSheetId="11">[12]MEMORIAL!#REF!</definedName>
    <definedName name="VAT">#REF!</definedName>
    <definedName name="VAT_1" localSheetId="11">[13]MEMORIAL!#REF!</definedName>
    <definedName name="VAT_1">#REF!</definedName>
    <definedName name="VBF" localSheetId="16">#REF!</definedName>
    <definedName name="VBF" localSheetId="10">#REF!</definedName>
    <definedName name="VBF" localSheetId="11">#REF!</definedName>
    <definedName name="VBF" localSheetId="1">#REF!</definedName>
    <definedName name="VBF" localSheetId="2">#REF!</definedName>
    <definedName name="VBF">#REF!</definedName>
    <definedName name="VBF_1" localSheetId="16">#REF!</definedName>
    <definedName name="VBF_1" localSheetId="11">#REF!</definedName>
    <definedName name="VBF_1">#REF!</definedName>
    <definedName name="ve" localSheetId="16">#REF!</definedName>
    <definedName name="ve" localSheetId="11">#REF!</definedName>
    <definedName name="ve">#REF!</definedName>
    <definedName name="ve_1" localSheetId="16">#REF!</definedName>
    <definedName name="ve_1" localSheetId="11">#REF!</definedName>
    <definedName name="ve_1">#REF!</definedName>
    <definedName name="VE1_1" localSheetId="16">#REF!</definedName>
    <definedName name="VE1_1" localSheetId="11">#REF!</definedName>
    <definedName name="VE1_1">#REF!</definedName>
    <definedName name="VEC" localSheetId="16">#REF!</definedName>
    <definedName name="VEC" localSheetId="11">#REF!</definedName>
    <definedName name="VEC">#REF!</definedName>
    <definedName name="VELOCIDADE" localSheetId="11">[11]Plan1!$A$188:$A$192</definedName>
    <definedName name="VELOCIDADE" localSheetId="1">#REF!</definedName>
    <definedName name="VELOCIDADE" localSheetId="2">#REF!</definedName>
    <definedName name="VELOCIDADE">#REF!</definedName>
    <definedName name="VENT_ILUM.NATURAL" localSheetId="11">[11]Plan1!$A$141:$A$144</definedName>
    <definedName name="VENT_ILUM.NATURAL" localSheetId="1">#REF!</definedName>
    <definedName name="VENT_ILUM.NATURAL" localSheetId="2">#REF!</definedName>
    <definedName name="VENT_ILUM.NATURAL">#REF!</definedName>
    <definedName name="VICIOS" localSheetId="11">[11]Plan1!$A$166:$A$168</definedName>
    <definedName name="VICIOS" localSheetId="1">#REF!</definedName>
    <definedName name="VICIOS" localSheetId="2">#REF!</definedName>
    <definedName name="VICIOS">#REF!</definedName>
    <definedName name="VO" localSheetId="16">#REF!</definedName>
    <definedName name="VO" localSheetId="10">#REF!</definedName>
    <definedName name="VO" localSheetId="11">#REF!</definedName>
    <definedName name="VO" localSheetId="1">#REF!</definedName>
    <definedName name="VO" localSheetId="2">#REF!</definedName>
    <definedName name="VO">#REF!</definedName>
    <definedName name="VO_1" localSheetId="16">#REF!</definedName>
    <definedName name="VO_1" localSheetId="11">#REF!</definedName>
    <definedName name="VO_1">#REF!</definedName>
    <definedName name="VO1_1" localSheetId="11">[7]MEMORIAL!#REF!</definedName>
    <definedName name="VO1_1">#REF!</definedName>
    <definedName name="VOC" localSheetId="16">#REF!</definedName>
    <definedName name="VOC" localSheetId="10">#REF!</definedName>
    <definedName name="VOC" localSheetId="11">#REF!</definedName>
    <definedName name="VOC" localSheetId="1">#REF!</definedName>
    <definedName name="VOC" localSheetId="2">#REF!</definedName>
    <definedName name="VOC">#REF!</definedName>
    <definedName name="Vol_Estrutural" localSheetId="10">[12]MEMORIAL!#REF!</definedName>
    <definedName name="Vol_Estrutural" localSheetId="11">[12]MEMORIAL!#REF!</definedName>
    <definedName name="Vol_Estrutural" localSheetId="1">#REF!</definedName>
    <definedName name="Vol_Estrutural" localSheetId="2">#REF!</definedName>
    <definedName name="Vol_Estrutural">#REF!</definedName>
    <definedName name="Vol_Estrutural_1" localSheetId="11">[22]MEMORIAL!#REF!</definedName>
    <definedName name="Vol_Estrutural_1">#REF!</definedName>
    <definedName name="VOLCON" localSheetId="11">[12]MEMORIAL!#REF!</definedName>
    <definedName name="VOLCON">#REF!</definedName>
    <definedName name="VOLCON_1" localSheetId="11">[12]MEMORIAL!#REF!</definedName>
    <definedName name="VOLCON_1">#REF!</definedName>
    <definedName name="VOLCONC" localSheetId="11">[21]MEMORIAL!#REF!</definedName>
    <definedName name="VOLCONC">#REF!</definedName>
    <definedName name="VOLCONC_1" localSheetId="11">[22]MEMORIAL!#REF!</definedName>
    <definedName name="VOLCONC_1">#REF!</definedName>
    <definedName name="Volume" localSheetId="10">#REF!</definedName>
    <definedName name="Volume" localSheetId="11">#REF!</definedName>
    <definedName name="Volume">#REF!</definedName>
    <definedName name="vr" localSheetId="16">#REF!</definedName>
    <definedName name="vr" localSheetId="11">#REF!</definedName>
    <definedName name="vr" localSheetId="1">#REF!</definedName>
    <definedName name="vr" localSheetId="2">#REF!</definedName>
    <definedName name="vr">#REF!</definedName>
    <definedName name="VR_1" localSheetId="16">#REF!</definedName>
    <definedName name="VR_1" localSheetId="11">#REF!</definedName>
    <definedName name="VR_1">#REF!</definedName>
    <definedName name="VRC" localSheetId="16">#REF!</definedName>
    <definedName name="VRC" localSheetId="11">#REF!</definedName>
    <definedName name="VRC">#REF!</definedName>
    <definedName name="VTE" localSheetId="11">[12]MEMORIAL!#REF!</definedName>
    <definedName name="VTE">#REF!</definedName>
    <definedName name="VTE_1" localSheetId="11">[13]MEMORIAL!#REF!</definedName>
    <definedName name="VTE_1">#REF!</definedName>
    <definedName name="wrn.mo2." localSheetId="16" hidden="1">{#N/A,#N/A,FALSE,"MO (2)"}</definedName>
    <definedName name="wrn.mo2." localSheetId="3" hidden="1">{#N/A,#N/A,FALSE,"MO (2)"}</definedName>
    <definedName name="wrn.mo2." localSheetId="10" hidden="1">{#N/A,#N/A,FALSE,"MO (2)"}</definedName>
    <definedName name="wrn.mo2." localSheetId="11" hidden="1">{#N/A,#N/A,FALSE,"MO (2)"}</definedName>
    <definedName name="wrn.mo2." localSheetId="1" hidden="1">{#N/A,#N/A,FALSE,"MO (2)"}</definedName>
    <definedName name="wrn.mo2." localSheetId="2" hidden="1">{#N/A,#N/A,FALSE,"MO (2)"}</definedName>
    <definedName name="wrn.mo2." hidden="1">{#N/A,#N/A,FALSE,"MO (2)"}</definedName>
    <definedName name="wrn.mo3." localSheetId="16" hidden="1">{#N/A,#N/A,FALSE,"MO (2)"}</definedName>
    <definedName name="wrn.mo3." localSheetId="10" hidden="1">{#N/A,#N/A,FALSE,"MO (2)"}</definedName>
    <definedName name="wrn.mo3." localSheetId="11" hidden="1">{#N/A,#N/A,FALSE,"MO (2)"}</definedName>
    <definedName name="wrn.mo3." localSheetId="2" hidden="1">{#N/A,#N/A,FALSE,"MO (2)"}</definedName>
    <definedName name="wrn.mo3." hidden="1">{#N/A,#N/A,FALSE,"MO (2)"}</definedName>
    <definedName name="wrn.PENDENCIAS." localSheetId="10" hidden="1">{#N/A,#N/A,FALSE,"GERAL";#N/A,#N/A,FALSE,"012-96";#N/A,#N/A,FALSE,"018-96";#N/A,#N/A,FALSE,"027-96";#N/A,#N/A,FALSE,"059-96";#N/A,#N/A,FALSE,"076-96";#N/A,#N/A,FALSE,"019-97";#N/A,#N/A,FALSE,"021-97";#N/A,#N/A,FALSE,"022-97";#N/A,#N/A,FALSE,"028-97"}</definedName>
    <definedName name="wrn.PENDENCIAS." localSheetId="11" hidden="1">{#N/A,#N/A,FALSE,"GERAL";#N/A,#N/A,FALSE,"012-96";#N/A,#N/A,FALSE,"018-96";#N/A,#N/A,FALSE,"027-96";#N/A,#N/A,FALSE,"059-96";#N/A,#N/A,FALSE,"076-96";#N/A,#N/A,FALSE,"019-97";#N/A,#N/A,FALSE,"021-97";#N/A,#N/A,FALSE,"022-97";#N/A,#N/A,FALSE,"028-97"}</definedName>
    <definedName name="wrn.PENDENCIAS." localSheetId="2"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RELAT_EAP." localSheetId="10" hidden="1">{#N/A,#N/A,FALSE,"EAP";#N/A,#N/A,FALSE,"CURVA AV.FÍSICO";#N/A,#N/A,FALSE,"CURVA AV.FINANC."}</definedName>
    <definedName name="wrn.RELAT_EAP." localSheetId="11" hidden="1">{#N/A,#N/A,FALSE,"EAP";#N/A,#N/A,FALSE,"CURVA AV.FÍSICO";#N/A,#N/A,FALSE,"CURVA AV.FINANC."}</definedName>
    <definedName name="wrn.RELAT_EAP." localSheetId="2" hidden="1">{#N/A,#N/A,FALSE,"EAP";#N/A,#N/A,FALSE,"CURVA AV.FÍSICO";#N/A,#N/A,FALSE,"CURVA AV.FINANC."}</definedName>
    <definedName name="wrn.RELAT_EAP." hidden="1">{#N/A,#N/A,FALSE,"EAP";#N/A,#N/A,FALSE,"CURVA AV.FÍSICO";#N/A,#N/A,FALSE,"CURVA AV.FINANC."}</definedName>
    <definedName name="ww" localSheetId="16">#REF!</definedName>
    <definedName name="ww" localSheetId="10">#REF!</definedName>
    <definedName name="ww" localSheetId="11">#REF!</definedName>
    <definedName name="ww" localSheetId="1">#REF!</definedName>
    <definedName name="ww" localSheetId="2">#REF!</definedName>
    <definedName name="ww">#REF!</definedName>
    <definedName name="WWWW" localSheetId="16">#REF!</definedName>
    <definedName name="WWWW" localSheetId="11">#REF!</definedName>
    <definedName name="WWWW">#REF!</definedName>
    <definedName name="X">("$#REF!.$A$1:$H$65204~$#REF!.$A$1:$AMJ$14)))))))")</definedName>
    <definedName name="xcvbn" localSheetId="16">#REF!</definedName>
    <definedName name="xcvbn" localSheetId="10">#REF!</definedName>
    <definedName name="xcvbn" localSheetId="11">#REF!</definedName>
    <definedName name="xcvbn">#REF!</definedName>
    <definedName name="xdhsd" localSheetId="16">#REF!</definedName>
    <definedName name="xdhsd" localSheetId="11">#REF!</definedName>
    <definedName name="xdhsd">#REF!</definedName>
    <definedName name="XFXGFT" localSheetId="16">#REF!</definedName>
    <definedName name="XFXGFT" localSheetId="11">#REF!</definedName>
    <definedName name="XFXGFT">#REF!</definedName>
    <definedName name="XS">("$#REF!.$A$1:$H$65207~$#REF!.$A$1:$AMJ$14)))))))")</definedName>
    <definedName name="XSS">("$#REF!.$A$1:$H$65204~$#REF!.$A$1:$AMJ$14)))))))")</definedName>
    <definedName name="xx" localSheetId="11">#REF!,#REF!</definedName>
    <definedName name="xx">#REF!,#REF!</definedName>
    <definedName name="XXX2" localSheetId="11">#REF!,#REF!</definedName>
    <definedName name="XXX2">#REF!,#REF!</definedName>
    <definedName name="xxxxx" localSheetId="11">#REF!,#REF!</definedName>
    <definedName name="xxxxx">#REF!,#REF!</definedName>
    <definedName name="xxxxxxx" localSheetId="11">#REF!,#REF!</definedName>
    <definedName name="xxxxxxx">#REF!,#REF!</definedName>
    <definedName name="xxxxxxxxx" localSheetId="11">#REF!,#REF!</definedName>
    <definedName name="xxxxxxxxx">#REF!,#REF!</definedName>
    <definedName name="xzdhd" localSheetId="16">#REF!</definedName>
    <definedName name="xzdhd" localSheetId="10">#REF!</definedName>
    <definedName name="xzdhd" localSheetId="11">#REF!</definedName>
    <definedName name="xzdhd">#REF!</definedName>
    <definedName name="ygfnjj" localSheetId="11">#REF!</definedName>
    <definedName name="ygfnjj">#REF!</definedName>
    <definedName name="Z" localSheetId="16">#REF!</definedName>
    <definedName name="Z" localSheetId="11">#REF!</definedName>
    <definedName name="Z">#REF!</definedName>
    <definedName name="ZA" localSheetId="16">#REF!</definedName>
    <definedName name="ZA" localSheetId="11">#REF!</definedName>
    <definedName name="ZA">#REF!</definedName>
    <definedName name="ZZZZZB2" localSheetId="11">#REF!,#REF!</definedName>
    <definedName name="ZZZZZB2">#REF!,#REF!</definedName>
    <definedName name="zzzzzzz" localSheetId="11">#REF!,#REF!</definedName>
    <definedName name="zzzzzzz">#REF!,#REF!</definedName>
    <definedName name="ZZZZZZZZZZ2" localSheetId="11">#REF!,#REF!</definedName>
    <definedName name="ZZZZZZZZZZ2">#REF!,#REF!</definedName>
    <definedName name="ZZZZZZZZZZZ" localSheetId="11">#REF!,#REF!</definedName>
    <definedName name="ZZZZZZZZZZZ">#REF!,#REF!</definedName>
    <definedName name="ZZZZZZZZZZZZZZZZZZZZZZZZ" localSheetId="11">#REF!,#REF!</definedName>
    <definedName name="ZZZZZZZZZZZZZZZZZZZZZZZZ">#REF!,#REF!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26" i="218" l="1"/>
  <c r="AH29" i="218"/>
  <c r="AB28" i="218"/>
  <c r="J267" i="218"/>
  <c r="AH257" i="218"/>
  <c r="AH28" i="218"/>
  <c r="I30" i="218"/>
  <c r="M53" i="218"/>
  <c r="F54" i="219"/>
  <c r="G55" i="219" s="1"/>
  <c r="F129" i="239"/>
  <c r="G129" i="239"/>
  <c r="H129" i="239"/>
  <c r="I129" i="239"/>
  <c r="J129" i="239"/>
  <c r="K129" i="239"/>
  <c r="L129" i="239"/>
  <c r="F131" i="239"/>
  <c r="G75" i="220"/>
  <c r="H75" i="220"/>
  <c r="I75" i="220" s="1"/>
  <c r="J75" i="220" s="1"/>
  <c r="K75" i="220" s="1"/>
  <c r="L75" i="220" s="1"/>
  <c r="M75" i="220" s="1"/>
  <c r="F75" i="220"/>
  <c r="E75" i="220"/>
  <c r="M57" i="220"/>
  <c r="L57" i="220"/>
  <c r="K57" i="220"/>
  <c r="N59" i="220"/>
  <c r="Q48" i="220"/>
  <c r="M48" i="220"/>
  <c r="Q43" i="220"/>
  <c r="Q38" i="220"/>
  <c r="Q33" i="220"/>
  <c r="Q28" i="220"/>
  <c r="Q23" i="220"/>
  <c r="Q18" i="220"/>
  <c r="Q13" i="220"/>
  <c r="M59" i="220"/>
  <c r="L59" i="220"/>
  <c r="K59" i="220"/>
  <c r="J59" i="220"/>
  <c r="I59" i="220"/>
  <c r="H59" i="220"/>
  <c r="G59" i="220"/>
  <c r="F59" i="220"/>
  <c r="E59" i="220"/>
  <c r="E18" i="220"/>
  <c r="F18" i="220"/>
  <c r="G18" i="220"/>
  <c r="K424" i="233"/>
  <c r="K449" i="233"/>
  <c r="R381" i="233" l="1"/>
  <c r="R673" i="233" l="1"/>
  <c r="R672" i="233"/>
  <c r="R674" i="233"/>
  <c r="R675" i="233"/>
  <c r="R676" i="233"/>
  <c r="R677" i="233"/>
  <c r="R678" i="233"/>
  <c r="J680" i="233"/>
  <c r="L680" i="233"/>
  <c r="S680" i="233" s="1"/>
  <c r="R680" i="233" l="1"/>
  <c r="O263" i="233"/>
  <c r="R424" i="233"/>
  <c r="K425" i="233"/>
  <c r="R425" i="233" s="1"/>
  <c r="K426" i="233"/>
  <c r="R426" i="233" s="1"/>
  <c r="K427" i="233"/>
  <c r="R427" i="233" s="1"/>
  <c r="K428" i="233"/>
  <c r="R428" i="233" s="1"/>
  <c r="K429" i="233"/>
  <c r="R429" i="233" s="1"/>
  <c r="K430" i="233"/>
  <c r="R430" i="233" s="1"/>
  <c r="K431" i="233"/>
  <c r="R431" i="233" s="1"/>
  <c r="K414" i="233"/>
  <c r="R414" i="233" s="1"/>
  <c r="K413" i="233"/>
  <c r="R413" i="233" s="1"/>
  <c r="K839" i="233"/>
  <c r="R839" i="233" s="1"/>
  <c r="K838" i="233"/>
  <c r="R838" i="233" s="1"/>
  <c r="K841" i="233"/>
  <c r="R841" i="233" s="1"/>
  <c r="K842" i="233"/>
  <c r="R842" i="233" s="1"/>
  <c r="K843" i="233"/>
  <c r="R843" i="233" s="1"/>
  <c r="K840" i="233"/>
  <c r="R840" i="233" s="1"/>
  <c r="K865" i="233"/>
  <c r="R865" i="233" s="1"/>
  <c r="K866" i="233"/>
  <c r="R866" i="233" s="1"/>
  <c r="K867" i="233"/>
  <c r="R867" i="233" s="1"/>
  <c r="K868" i="233"/>
  <c r="R868" i="233" s="1"/>
  <c r="K863" i="233"/>
  <c r="R863" i="233" s="1"/>
  <c r="K859" i="233"/>
  <c r="R859" i="233" s="1"/>
  <c r="K860" i="233"/>
  <c r="R860" i="233" s="1"/>
  <c r="K861" i="233"/>
  <c r="R861" i="233" s="1"/>
  <c r="K862" i="233"/>
  <c r="R862" i="233" s="1"/>
  <c r="K854" i="233"/>
  <c r="R854" i="233" s="1"/>
  <c r="K853" i="233"/>
  <c r="K855" i="233"/>
  <c r="R855" i="233" s="1"/>
  <c r="K856" i="233"/>
  <c r="R856" i="233" s="1"/>
  <c r="K857" i="233"/>
  <c r="R857" i="233" s="1"/>
  <c r="K858" i="233"/>
  <c r="R858" i="233" s="1"/>
  <c r="K864" i="233"/>
  <c r="R864" i="233" s="1"/>
  <c r="K852" i="233"/>
  <c r="R852" i="233" s="1"/>
  <c r="J831" i="233"/>
  <c r="Q828" i="233"/>
  <c r="R828" i="233" s="1"/>
  <c r="Q827" i="233"/>
  <c r="R827" i="233" s="1"/>
  <c r="K412" i="233"/>
  <c r="R412" i="233" s="1"/>
  <c r="K419" i="233" l="1"/>
  <c r="R419" i="233" s="1"/>
  <c r="K415" i="233"/>
  <c r="R415" i="233" s="1"/>
  <c r="F448" i="233"/>
  <c r="I448" i="233" s="1"/>
  <c r="K448" i="233" s="1"/>
  <c r="R448" i="233" s="1"/>
  <c r="I447" i="233"/>
  <c r="K447" i="233" s="1"/>
  <c r="R447" i="233" s="1"/>
  <c r="I446" i="233"/>
  <c r="K446" i="233" s="1"/>
  <c r="R446" i="233" s="1"/>
  <c r="I445" i="233"/>
  <c r="K445" i="233" s="1"/>
  <c r="R445" i="233" s="1"/>
  <c r="F444" i="233"/>
  <c r="K444" i="233" s="1"/>
  <c r="R444" i="233" s="1"/>
  <c r="I443" i="233"/>
  <c r="K443" i="233" s="1"/>
  <c r="R443" i="233" s="1"/>
  <c r="F442" i="233"/>
  <c r="I442" i="233" s="1"/>
  <c r="K442" i="233" s="1"/>
  <c r="R442" i="233" s="1"/>
  <c r="I441" i="233"/>
  <c r="K441" i="233" s="1"/>
  <c r="R441" i="233" s="1"/>
  <c r="I440" i="233"/>
  <c r="K440" i="233" s="1"/>
  <c r="R440" i="233" s="1"/>
  <c r="I439" i="233"/>
  <c r="K439" i="233" s="1"/>
  <c r="R439" i="233" s="1"/>
  <c r="I438" i="233"/>
  <c r="K438" i="233" s="1"/>
  <c r="R438" i="233" s="1"/>
  <c r="I455" i="233"/>
  <c r="K455" i="233" s="1"/>
  <c r="R455" i="233" s="1"/>
  <c r="I454" i="233"/>
  <c r="F454" i="233"/>
  <c r="K453" i="233"/>
  <c r="R453" i="233" s="1"/>
  <c r="I452" i="233"/>
  <c r="F452" i="233"/>
  <c r="I451" i="233"/>
  <c r="K451" i="233" s="1"/>
  <c r="R451" i="233" s="1"/>
  <c r="I450" i="233"/>
  <c r="F450" i="233"/>
  <c r="R449" i="233"/>
  <c r="R746" i="233"/>
  <c r="R853" i="233"/>
  <c r="K837" i="233"/>
  <c r="R837" i="233" s="1"/>
  <c r="K420" i="233" l="1"/>
  <c r="R420" i="233" s="1"/>
  <c r="K421" i="233"/>
  <c r="R421" i="233" s="1"/>
  <c r="K423" i="233"/>
  <c r="R423" i="233" s="1"/>
  <c r="K416" i="233"/>
  <c r="R416" i="233" s="1"/>
  <c r="K452" i="233"/>
  <c r="R452" i="233" s="1"/>
  <c r="K450" i="233"/>
  <c r="R450" i="233" s="1"/>
  <c r="R456" i="233" s="1"/>
  <c r="K454" i="233"/>
  <c r="R454" i="233" s="1"/>
  <c r="X831" i="233"/>
  <c r="K851" i="233"/>
  <c r="R533" i="233"/>
  <c r="R532" i="233"/>
  <c r="R531" i="233"/>
  <c r="R530" i="233"/>
  <c r="R529" i="233"/>
  <c r="R528" i="233"/>
  <c r="R527" i="233"/>
  <c r="R526" i="233"/>
  <c r="R525" i="233"/>
  <c r="R524" i="233"/>
  <c r="R523" i="233"/>
  <c r="R522" i="233"/>
  <c r="R521" i="233"/>
  <c r="R520" i="233"/>
  <c r="R519" i="233"/>
  <c r="R518" i="233"/>
  <c r="R517" i="233"/>
  <c r="R516" i="233"/>
  <c r="R515" i="233"/>
  <c r="R499" i="233"/>
  <c r="R500" i="233"/>
  <c r="R501" i="233"/>
  <c r="R502" i="233"/>
  <c r="R503" i="233"/>
  <c r="R504" i="233"/>
  <c r="R505" i="233"/>
  <c r="R498" i="233"/>
  <c r="R497" i="233"/>
  <c r="R496" i="233"/>
  <c r="R495" i="233"/>
  <c r="R494" i="233"/>
  <c r="R493" i="233"/>
  <c r="R492" i="233"/>
  <c r="R491" i="233"/>
  <c r="R490" i="233"/>
  <c r="R489" i="233"/>
  <c r="R488" i="233"/>
  <c r="R487" i="233"/>
  <c r="R736" i="233"/>
  <c r="K776" i="233"/>
  <c r="R776" i="233" s="1"/>
  <c r="K775" i="233"/>
  <c r="R775" i="233" s="1"/>
  <c r="K774" i="233"/>
  <c r="R774" i="233" s="1"/>
  <c r="K773" i="233"/>
  <c r="R773" i="233" s="1"/>
  <c r="R639" i="233"/>
  <c r="R638" i="233"/>
  <c r="R637" i="233"/>
  <c r="R636" i="233"/>
  <c r="R635" i="233"/>
  <c r="R634" i="233"/>
  <c r="R633" i="233"/>
  <c r="R632" i="233"/>
  <c r="R631" i="233"/>
  <c r="R630" i="233"/>
  <c r="N654" i="233"/>
  <c r="R654" i="233" s="1"/>
  <c r="N653" i="233"/>
  <c r="R653" i="233" s="1"/>
  <c r="N652" i="233"/>
  <c r="R652" i="233" s="1"/>
  <c r="N651" i="233"/>
  <c r="R651" i="233" s="1"/>
  <c r="N650" i="233"/>
  <c r="R650" i="233" s="1"/>
  <c r="N649" i="233"/>
  <c r="R649" i="233" s="1"/>
  <c r="N655" i="233"/>
  <c r="R655" i="233" s="1"/>
  <c r="N648" i="233"/>
  <c r="R648" i="233" s="1"/>
  <c r="N647" i="233"/>
  <c r="R647" i="233" s="1"/>
  <c r="K417" i="233" l="1"/>
  <c r="R417" i="233" s="1"/>
  <c r="K422" i="233"/>
  <c r="R422" i="233" s="1"/>
  <c r="K418" i="233"/>
  <c r="R418" i="233" s="1"/>
  <c r="R640" i="233"/>
  <c r="R432" i="233" l="1"/>
  <c r="N646" i="233"/>
  <c r="R646" i="233" s="1"/>
  <c r="R355" i="233"/>
  <c r="R283" i="233" l="1"/>
  <c r="K174" i="233"/>
  <c r="O174" i="233" s="1"/>
  <c r="R174" i="233" s="1"/>
  <c r="K175" i="233"/>
  <c r="O175" i="233" s="1"/>
  <c r="I52" i="220"/>
  <c r="I50" i="220" s="1"/>
  <c r="K47" i="220"/>
  <c r="G47" i="220"/>
  <c r="M72" i="220"/>
  <c r="M71" i="220"/>
  <c r="M12" i="220"/>
  <c r="L12" i="220"/>
  <c r="K12" i="220"/>
  <c r="J12" i="220"/>
  <c r="I12" i="220"/>
  <c r="H12" i="220"/>
  <c r="G12" i="220"/>
  <c r="F12" i="220"/>
  <c r="E12" i="220"/>
  <c r="M17" i="220"/>
  <c r="L17" i="220"/>
  <c r="K17" i="220"/>
  <c r="J17" i="220"/>
  <c r="I17" i="220"/>
  <c r="H17" i="220"/>
  <c r="G17" i="220"/>
  <c r="F17" i="220"/>
  <c r="E17" i="220"/>
  <c r="M22" i="220"/>
  <c r="L22" i="220"/>
  <c r="K22" i="220"/>
  <c r="J22" i="220"/>
  <c r="I22" i="220"/>
  <c r="H22" i="220"/>
  <c r="G22" i="220"/>
  <c r="F22" i="220"/>
  <c r="E22" i="220"/>
  <c r="M27" i="220"/>
  <c r="L27" i="220"/>
  <c r="K27" i="220"/>
  <c r="J27" i="220"/>
  <c r="I27" i="220"/>
  <c r="H27" i="220"/>
  <c r="G27" i="220"/>
  <c r="F27" i="220"/>
  <c r="E27" i="220"/>
  <c r="M52" i="220"/>
  <c r="M50" i="220" s="1"/>
  <c r="L52" i="220"/>
  <c r="L50" i="220" s="1"/>
  <c r="K52" i="220"/>
  <c r="K50" i="220" s="1"/>
  <c r="J52" i="220"/>
  <c r="J50" i="220" s="1"/>
  <c r="H52" i="220"/>
  <c r="H50" i="220" s="1"/>
  <c r="G52" i="220"/>
  <c r="G50" i="220" s="1"/>
  <c r="F52" i="220"/>
  <c r="F50" i="220" s="1"/>
  <c r="E52" i="220"/>
  <c r="M47" i="220"/>
  <c r="L47" i="220"/>
  <c r="L45" i="220" s="1"/>
  <c r="J47" i="220"/>
  <c r="J45" i="220" s="1"/>
  <c r="I47" i="220"/>
  <c r="H47" i="220"/>
  <c r="H45" i="220" s="1"/>
  <c r="F47" i="220"/>
  <c r="F45" i="220" s="1"/>
  <c r="E47" i="220"/>
  <c r="E45" i="220" s="1"/>
  <c r="M32" i="220"/>
  <c r="L32" i="220"/>
  <c r="K32" i="220"/>
  <c r="J32" i="220"/>
  <c r="I32" i="220"/>
  <c r="H32" i="220"/>
  <c r="G32" i="220"/>
  <c r="F32" i="220"/>
  <c r="E32" i="220"/>
  <c r="M37" i="220"/>
  <c r="L37" i="220"/>
  <c r="K37" i="220"/>
  <c r="J37" i="220"/>
  <c r="I37" i="220"/>
  <c r="H37" i="220"/>
  <c r="G37" i="220"/>
  <c r="F37" i="220"/>
  <c r="E37" i="220"/>
  <c r="M42" i="220"/>
  <c r="L42" i="220"/>
  <c r="K42" i="220"/>
  <c r="M73" i="220"/>
  <c r="L73" i="220"/>
  <c r="K73" i="220"/>
  <c r="J73" i="220"/>
  <c r="H73" i="220"/>
  <c r="G73" i="220"/>
  <c r="J42" i="220"/>
  <c r="I42" i="220"/>
  <c r="H42" i="220"/>
  <c r="G42" i="220"/>
  <c r="C50" i="220"/>
  <c r="C45" i="220"/>
  <c r="R175" i="233" l="1"/>
  <c r="O185" i="233" s="1"/>
  <c r="R185" i="233" s="1"/>
  <c r="I73" i="220"/>
  <c r="I58" i="220"/>
  <c r="J58" i="220"/>
  <c r="G58" i="220"/>
  <c r="K58" i="220"/>
  <c r="M58" i="220"/>
  <c r="H58" i="220"/>
  <c r="L58" i="220"/>
  <c r="E50" i="220"/>
  <c r="M45" i="220"/>
  <c r="G45" i="220"/>
  <c r="K45" i="220"/>
  <c r="I45" i="220"/>
  <c r="J375" i="233" l="1"/>
  <c r="L375" i="233"/>
  <c r="S375" i="233" s="1"/>
  <c r="R376" i="233"/>
  <c r="C379" i="233"/>
  <c r="C380" i="233"/>
  <c r="K203" i="233"/>
  <c r="K204" i="233"/>
  <c r="K202" i="233"/>
  <c r="O202" i="233" s="1"/>
  <c r="R202" i="233" s="1"/>
  <c r="K173" i="233"/>
  <c r="O173" i="233" s="1"/>
  <c r="R173" i="233" s="1"/>
  <c r="O183" i="233" s="1"/>
  <c r="K172" i="233"/>
  <c r="O172" i="233" s="1"/>
  <c r="R172" i="233" s="1"/>
  <c r="O182" i="233" s="1"/>
  <c r="R182" i="233" s="1"/>
  <c r="G75" i="232"/>
  <c r="G89" i="232"/>
  <c r="G88" i="232"/>
  <c r="G87" i="232"/>
  <c r="G86" i="232"/>
  <c r="G85" i="232"/>
  <c r="G84" i="232"/>
  <c r="G83" i="232"/>
  <c r="G82" i="232"/>
  <c r="G81" i="232"/>
  <c r="G80" i="232"/>
  <c r="G79" i="232"/>
  <c r="G78" i="232"/>
  <c r="G77" i="232"/>
  <c r="N204" i="233" l="1"/>
  <c r="O204" i="233"/>
  <c r="R204" i="233" s="1"/>
  <c r="O203" i="233"/>
  <c r="R203" i="233" s="1"/>
  <c r="S377" i="233"/>
  <c r="S376" i="233"/>
  <c r="N203" i="233"/>
  <c r="N202" i="233"/>
  <c r="R183" i="233"/>
  <c r="O262" i="233"/>
  <c r="R262" i="233" s="1"/>
  <c r="R609" i="233"/>
  <c r="R610" i="233"/>
  <c r="R608" i="233"/>
  <c r="R607" i="233"/>
  <c r="R606" i="233"/>
  <c r="R186" i="233" l="1"/>
  <c r="B207" i="218"/>
  <c r="Z207" i="218"/>
  <c r="Z213" i="218"/>
  <c r="Z214" i="218"/>
  <c r="G218" i="218"/>
  <c r="I218" i="218" s="1"/>
  <c r="K218" i="218" s="1"/>
  <c r="M218" i="218" s="1"/>
  <c r="O218" i="218" s="1"/>
  <c r="Q218" i="218" s="1"/>
  <c r="S218" i="218" s="1"/>
  <c r="U218" i="218" s="1"/>
  <c r="W218" i="218" s="1"/>
  <c r="Y218" i="218" s="1"/>
  <c r="AA218" i="218" s="1"/>
  <c r="AC218" i="218" s="1"/>
  <c r="AP35" i="218"/>
  <c r="BP88" i="218"/>
  <c r="BP89" i="218"/>
  <c r="BP90" i="218"/>
  <c r="BP91" i="218"/>
  <c r="BP92" i="218"/>
  <c r="BP93" i="218"/>
  <c r="BP94" i="218"/>
  <c r="BP95" i="218"/>
  <c r="BP96" i="218"/>
  <c r="BP97" i="218"/>
  <c r="BP98" i="218"/>
  <c r="BP99" i="218"/>
  <c r="BP100" i="218"/>
  <c r="BP101" i="218"/>
  <c r="BP102" i="218"/>
  <c r="BP103" i="218"/>
  <c r="BP107" i="218"/>
  <c r="BP108" i="218"/>
  <c r="BP109" i="218"/>
  <c r="BP110" i="218"/>
  <c r="BP111" i="218"/>
  <c r="BP112" i="218"/>
  <c r="BP113" i="218"/>
  <c r="BP114" i="218"/>
  <c r="BP115" i="218"/>
  <c r="BP116" i="218"/>
  <c r="BP117" i="218"/>
  <c r="BP118" i="218"/>
  <c r="BP119" i="218"/>
  <c r="BP120" i="218"/>
  <c r="BP121" i="218"/>
  <c r="BP122" i="218"/>
  <c r="BP123" i="218"/>
  <c r="BP124" i="218"/>
  <c r="BP125" i="218"/>
  <c r="BP126" i="218"/>
  <c r="BP127" i="218"/>
  <c r="BP128" i="218"/>
  <c r="BP129" i="218"/>
  <c r="BP130" i="218"/>
  <c r="BP131" i="218"/>
  <c r="BP132" i="218"/>
  <c r="BP133" i="218"/>
  <c r="AK135" i="218"/>
  <c r="AL135" i="218"/>
  <c r="AM135" i="218"/>
  <c r="AN135" i="218"/>
  <c r="AO135" i="218"/>
  <c r="AP135" i="218"/>
  <c r="AQ135" i="218"/>
  <c r="AR135" i="218"/>
  <c r="AS135" i="218"/>
  <c r="AT135" i="218"/>
  <c r="AU135" i="218"/>
  <c r="AV135" i="218"/>
  <c r="AW135" i="218"/>
  <c r="AX135" i="218"/>
  <c r="AY135" i="218"/>
  <c r="AZ135" i="218"/>
  <c r="BA135" i="218"/>
  <c r="BB135" i="218"/>
  <c r="BC135" i="218"/>
  <c r="BD135" i="218"/>
  <c r="BE135" i="218"/>
  <c r="BF135" i="218"/>
  <c r="BG135" i="218"/>
  <c r="BH135" i="218"/>
  <c r="BI135" i="218"/>
  <c r="BJ135" i="218"/>
  <c r="BK135" i="218"/>
  <c r="BL135" i="218"/>
  <c r="BM135" i="218"/>
  <c r="BN135" i="218"/>
  <c r="AK169" i="218"/>
  <c r="AL169" i="218"/>
  <c r="AM169" i="218"/>
  <c r="AN169" i="218"/>
  <c r="AO169" i="218"/>
  <c r="AP169" i="218"/>
  <c r="AQ169" i="218"/>
  <c r="AR169" i="218"/>
  <c r="AS169" i="218"/>
  <c r="AT169" i="218"/>
  <c r="AU169" i="218"/>
  <c r="AV169" i="218"/>
  <c r="AW169" i="218"/>
  <c r="AX169" i="218"/>
  <c r="AY169" i="218"/>
  <c r="AZ169" i="218"/>
  <c r="BA169" i="218"/>
  <c r="BB169" i="218"/>
  <c r="BC169" i="218"/>
  <c r="BD169" i="218"/>
  <c r="BE169" i="218"/>
  <c r="BF169" i="218"/>
  <c r="BG169" i="218"/>
  <c r="BH169" i="218"/>
  <c r="BI169" i="218"/>
  <c r="BJ169" i="218"/>
  <c r="BK169" i="218"/>
  <c r="BL169" i="218"/>
  <c r="BM169" i="218"/>
  <c r="BN169" i="218"/>
  <c r="C74" i="215"/>
  <c r="B74" i="215"/>
  <c r="B72" i="215"/>
  <c r="C72" i="215"/>
  <c r="C71" i="215"/>
  <c r="B71" i="215"/>
  <c r="B73" i="215"/>
  <c r="C73" i="215"/>
  <c r="E73" i="215"/>
  <c r="B75" i="215"/>
  <c r="C75" i="215"/>
  <c r="E75" i="215"/>
  <c r="B76" i="215"/>
  <c r="C76" i="215"/>
  <c r="E76" i="215"/>
  <c r="B77" i="215"/>
  <c r="C77" i="215"/>
  <c r="E77" i="215"/>
  <c r="B78" i="215"/>
  <c r="C78" i="215"/>
  <c r="E78" i="215"/>
  <c r="B79" i="215"/>
  <c r="C79" i="215"/>
  <c r="E79" i="215"/>
  <c r="B80" i="215"/>
  <c r="C80" i="215"/>
  <c r="E80" i="215"/>
  <c r="B81" i="215"/>
  <c r="C81" i="215"/>
  <c r="E81" i="215"/>
  <c r="B82" i="215"/>
  <c r="C82" i="215"/>
  <c r="E82" i="215"/>
  <c r="B83" i="215"/>
  <c r="C83" i="215"/>
  <c r="E83" i="215"/>
  <c r="B84" i="215"/>
  <c r="C84" i="215"/>
  <c r="E84" i="215"/>
  <c r="B85" i="215"/>
  <c r="C85" i="215"/>
  <c r="E85" i="215"/>
  <c r="B86" i="215"/>
  <c r="C86" i="215"/>
  <c r="E86" i="215"/>
  <c r="B87" i="215"/>
  <c r="C87" i="215"/>
  <c r="E87" i="215"/>
  <c r="R656" i="233"/>
  <c r="R657" i="233"/>
  <c r="R871" i="233"/>
  <c r="L870" i="233"/>
  <c r="S871" i="233" s="1"/>
  <c r="J870" i="233"/>
  <c r="C850" i="233"/>
  <c r="B850" i="233"/>
  <c r="C849" i="233"/>
  <c r="B849" i="233"/>
  <c r="R846" i="233"/>
  <c r="R845" i="233"/>
  <c r="L845" i="233"/>
  <c r="S846" i="233" s="1"/>
  <c r="J845" i="233"/>
  <c r="C836" i="233"/>
  <c r="B836" i="233"/>
  <c r="C835" i="233"/>
  <c r="B835" i="233"/>
  <c r="R832" i="233"/>
  <c r="L831" i="233"/>
  <c r="S832" i="233" s="1"/>
  <c r="C826" i="233"/>
  <c r="B826" i="233"/>
  <c r="C825" i="233"/>
  <c r="B825" i="233"/>
  <c r="R822" i="233"/>
  <c r="L821" i="233"/>
  <c r="S822" i="233" s="1"/>
  <c r="J821" i="233"/>
  <c r="C782" i="233"/>
  <c r="B782" i="233"/>
  <c r="C781" i="233"/>
  <c r="B781" i="233"/>
  <c r="R778" i="233"/>
  <c r="L777" i="233"/>
  <c r="S779" i="233" s="1"/>
  <c r="J777" i="233"/>
  <c r="C772" i="233"/>
  <c r="B772" i="233"/>
  <c r="C771" i="233"/>
  <c r="B771" i="233"/>
  <c r="R768" i="233"/>
  <c r="V768" i="233" s="1"/>
  <c r="V767" i="233" s="1"/>
  <c r="V766" i="233" s="1"/>
  <c r="V765" i="233" s="1"/>
  <c r="V764" i="233" s="1"/>
  <c r="V763" i="233" s="1"/>
  <c r="V762" i="233" s="1"/>
  <c r="V761" i="233" s="1"/>
  <c r="V760" i="233" s="1"/>
  <c r="V769" i="233" s="1"/>
  <c r="L767" i="233"/>
  <c r="S768" i="233" s="1"/>
  <c r="J767" i="233"/>
  <c r="C761" i="233"/>
  <c r="B761" i="233"/>
  <c r="C760" i="233"/>
  <c r="B760" i="233"/>
  <c r="R757" i="233"/>
  <c r="R756" i="233"/>
  <c r="L756" i="233"/>
  <c r="S757" i="233" s="1"/>
  <c r="J756" i="233"/>
  <c r="C751" i="233"/>
  <c r="B751" i="233"/>
  <c r="C750" i="233"/>
  <c r="B750" i="233"/>
  <c r="R747" i="233"/>
  <c r="L746" i="233"/>
  <c r="S748" i="233" s="1"/>
  <c r="J746" i="233"/>
  <c r="C741" i="233"/>
  <c r="B741" i="233"/>
  <c r="C740" i="233"/>
  <c r="B740" i="233"/>
  <c r="R737" i="233"/>
  <c r="L736" i="233"/>
  <c r="S738" i="233" s="1"/>
  <c r="J736" i="233"/>
  <c r="C685" i="233"/>
  <c r="B685" i="233"/>
  <c r="C684" i="233"/>
  <c r="B684" i="233"/>
  <c r="R681" i="233"/>
  <c r="S682" i="233"/>
  <c r="C671" i="233"/>
  <c r="B671" i="233"/>
  <c r="C670" i="233"/>
  <c r="B670" i="233"/>
  <c r="R667" i="233"/>
  <c r="L666" i="233"/>
  <c r="S668" i="233" s="1"/>
  <c r="J666" i="233"/>
  <c r="C661" i="233"/>
  <c r="B661" i="233"/>
  <c r="C660" i="233"/>
  <c r="B660" i="233"/>
  <c r="L656" i="233"/>
  <c r="S658" i="233" s="1"/>
  <c r="J656" i="233"/>
  <c r="C645" i="233"/>
  <c r="B645" i="233"/>
  <c r="C644" i="233"/>
  <c r="B644" i="233"/>
  <c r="R641" i="233"/>
  <c r="L640" i="233"/>
  <c r="S641" i="233" s="1"/>
  <c r="J640" i="233"/>
  <c r="C629" i="233"/>
  <c r="B629" i="233"/>
  <c r="C628" i="233"/>
  <c r="B628" i="233"/>
  <c r="C627" i="233"/>
  <c r="R624" i="233"/>
  <c r="R623" i="233"/>
  <c r="L623" i="233"/>
  <c r="S624" i="233" s="1"/>
  <c r="J623" i="233"/>
  <c r="C618" i="233"/>
  <c r="B618" i="233"/>
  <c r="C617" i="233"/>
  <c r="B617" i="233"/>
  <c r="C616" i="233"/>
  <c r="C615" i="233"/>
  <c r="I78" i="232"/>
  <c r="I79" i="232"/>
  <c r="I80" i="232"/>
  <c r="I81" i="232"/>
  <c r="I82" i="232"/>
  <c r="I83" i="232"/>
  <c r="I84" i="232"/>
  <c r="I85" i="232"/>
  <c r="I86" i="232"/>
  <c r="I87" i="232"/>
  <c r="I88" i="232"/>
  <c r="I89" i="232"/>
  <c r="I77" i="232"/>
  <c r="I75" i="232"/>
  <c r="I74" i="232" s="1"/>
  <c r="G74" i="232"/>
  <c r="C48" i="220" s="1"/>
  <c r="I76" i="232" l="1"/>
  <c r="R847" i="233"/>
  <c r="S847" i="233"/>
  <c r="S737" i="233"/>
  <c r="S736" i="233"/>
  <c r="S666" i="233"/>
  <c r="S656" i="233"/>
  <c r="R658" i="233"/>
  <c r="J657" i="233"/>
  <c r="S657" i="233"/>
  <c r="S756" i="233"/>
  <c r="S777" i="233"/>
  <c r="R831" i="233"/>
  <c r="S758" i="233"/>
  <c r="S821" i="233"/>
  <c r="S681" i="233"/>
  <c r="S746" i="233"/>
  <c r="S769" i="233"/>
  <c r="S667" i="233"/>
  <c r="R758" i="233"/>
  <c r="S778" i="233"/>
  <c r="S823" i="233"/>
  <c r="R666" i="233"/>
  <c r="J667" i="233" s="1"/>
  <c r="S747" i="233"/>
  <c r="R767" i="233"/>
  <c r="R821" i="233"/>
  <c r="R823" i="233" s="1"/>
  <c r="R870" i="233"/>
  <c r="R872" i="233" s="1"/>
  <c r="S642" i="233"/>
  <c r="R625" i="233"/>
  <c r="R777" i="233"/>
  <c r="R642" i="233"/>
  <c r="J641" i="233"/>
  <c r="J757" i="233"/>
  <c r="S767" i="233"/>
  <c r="S833" i="233"/>
  <c r="S845" i="233"/>
  <c r="S872" i="233"/>
  <c r="S831" i="233"/>
  <c r="S870" i="233"/>
  <c r="S640" i="233"/>
  <c r="J846" i="233"/>
  <c r="J624" i="233"/>
  <c r="S625" i="233"/>
  <c r="S623" i="233"/>
  <c r="G76" i="232"/>
  <c r="I90" i="232"/>
  <c r="J832" i="233" l="1"/>
  <c r="G90" i="232"/>
  <c r="C53" i="220"/>
  <c r="J89" i="232"/>
  <c r="D87" i="215" s="1"/>
  <c r="G87" i="215" s="1"/>
  <c r="H87" i="215" s="1"/>
  <c r="J83" i="232"/>
  <c r="D81" i="215" s="1"/>
  <c r="G81" i="215" s="1"/>
  <c r="H81" i="215" s="1"/>
  <c r="J86" i="232"/>
  <c r="D84" i="215" s="1"/>
  <c r="G84" i="215" s="1"/>
  <c r="H84" i="215" s="1"/>
  <c r="J78" i="232"/>
  <c r="D76" i="215" s="1"/>
  <c r="G76" i="215" s="1"/>
  <c r="H76" i="215" s="1"/>
  <c r="J75" i="232"/>
  <c r="L75" i="232" s="1"/>
  <c r="M75" i="232" s="1"/>
  <c r="K75" i="232" s="1"/>
  <c r="K74" i="232" s="1"/>
  <c r="N71" i="220" s="1"/>
  <c r="N47" i="220" s="1"/>
  <c r="J88" i="232"/>
  <c r="D86" i="215" s="1"/>
  <c r="G86" i="215" s="1"/>
  <c r="H86" i="215" s="1"/>
  <c r="R668" i="233"/>
  <c r="R833" i="233"/>
  <c r="V823" i="233"/>
  <c r="V822" i="233" s="1"/>
  <c r="V821" i="233" s="1"/>
  <c r="V820" i="233" s="1"/>
  <c r="V819" i="233" s="1"/>
  <c r="V818" i="233" s="1"/>
  <c r="V847" i="233"/>
  <c r="V846" i="233" s="1"/>
  <c r="V845" i="233" s="1"/>
  <c r="V844" i="233" s="1"/>
  <c r="V872" i="233"/>
  <c r="V871" i="233" s="1"/>
  <c r="V870" i="233" s="1"/>
  <c r="V869" i="233" s="1"/>
  <c r="V758" i="233"/>
  <c r="V757" i="233" s="1"/>
  <c r="V756" i="233" s="1"/>
  <c r="V755" i="233" s="1"/>
  <c r="V754" i="233" s="1"/>
  <c r="V753" i="233" s="1"/>
  <c r="V752" i="233" s="1"/>
  <c r="V751" i="233" s="1"/>
  <c r="V750" i="233" s="1"/>
  <c r="V759" i="233" s="1"/>
  <c r="V658" i="233"/>
  <c r="V657" i="233" s="1"/>
  <c r="V656" i="233" s="1"/>
  <c r="V655" i="233" s="1"/>
  <c r="V654" i="233" s="1"/>
  <c r="V653" i="233" s="1"/>
  <c r="V652" i="233" s="1"/>
  <c r="V651" i="233" s="1"/>
  <c r="V650" i="233" s="1"/>
  <c r="V649" i="233" s="1"/>
  <c r="V648" i="233" s="1"/>
  <c r="V647" i="233" s="1"/>
  <c r="V646" i="233" s="1"/>
  <c r="V645" i="233" s="1"/>
  <c r="V644" i="233" s="1"/>
  <c r="V642" i="233"/>
  <c r="V641" i="233" s="1"/>
  <c r="V640" i="233" s="1"/>
  <c r="J77" i="232"/>
  <c r="J871" i="233"/>
  <c r="J681" i="233"/>
  <c r="R682" i="233"/>
  <c r="J822" i="233"/>
  <c r="V625" i="233"/>
  <c r="V624" i="233" s="1"/>
  <c r="V623" i="233" s="1"/>
  <c r="V622" i="233" s="1"/>
  <c r="V621" i="233" s="1"/>
  <c r="V620" i="233" s="1"/>
  <c r="V619" i="233" s="1"/>
  <c r="V618" i="233" s="1"/>
  <c r="V617" i="233" s="1"/>
  <c r="R779" i="233"/>
  <c r="J778" i="233"/>
  <c r="R769" i="233"/>
  <c r="J768" i="233"/>
  <c r="R738" i="233"/>
  <c r="J737" i="233"/>
  <c r="V853" i="233" l="1"/>
  <c r="V852" i="233" s="1"/>
  <c r="V851" i="233" s="1"/>
  <c r="V850" i="233" s="1"/>
  <c r="V849" i="233" s="1"/>
  <c r="V868" i="233"/>
  <c r="V867" i="233" s="1"/>
  <c r="V866" i="233" s="1"/>
  <c r="V865" i="233" s="1"/>
  <c r="V864" i="233" s="1"/>
  <c r="V863" i="233" s="1"/>
  <c r="V862" i="233" s="1"/>
  <c r="V861" i="233" s="1"/>
  <c r="V860" i="233" s="1"/>
  <c r="V859" i="233" s="1"/>
  <c r="V858" i="233" s="1"/>
  <c r="V857" i="233" s="1"/>
  <c r="V856" i="233" s="1"/>
  <c r="V855" i="233" s="1"/>
  <c r="V854" i="233" s="1"/>
  <c r="V843" i="233"/>
  <c r="V842" i="233" s="1"/>
  <c r="V841" i="233" s="1"/>
  <c r="V840" i="233" s="1"/>
  <c r="V839" i="233" s="1"/>
  <c r="V838" i="233" s="1"/>
  <c r="V837" i="233" s="1"/>
  <c r="V836" i="233" s="1"/>
  <c r="V835" i="233" s="1"/>
  <c r="V848" i="233" s="1"/>
  <c r="V639" i="233"/>
  <c r="V638" i="233" s="1"/>
  <c r="V637" i="233" s="1"/>
  <c r="V636" i="233" s="1"/>
  <c r="V635" i="233" s="1"/>
  <c r="V634" i="233" s="1"/>
  <c r="V633" i="233" s="1"/>
  <c r="V632" i="233" s="1"/>
  <c r="V631" i="233" s="1"/>
  <c r="V630" i="233" s="1"/>
  <c r="V629" i="233" s="1"/>
  <c r="V628" i="233" s="1"/>
  <c r="V643" i="233" s="1"/>
  <c r="V817" i="233"/>
  <c r="V816" i="233" s="1"/>
  <c r="V815" i="233" s="1"/>
  <c r="V814" i="233" s="1"/>
  <c r="V813" i="233" s="1"/>
  <c r="V812" i="233" s="1"/>
  <c r="V811" i="233" s="1"/>
  <c r="V810" i="233" s="1"/>
  <c r="V809" i="233" s="1"/>
  <c r="V808" i="233" s="1"/>
  <c r="V807" i="233" s="1"/>
  <c r="V806" i="233" s="1"/>
  <c r="V805" i="233" s="1"/>
  <c r="V804" i="233" s="1"/>
  <c r="V803" i="233" s="1"/>
  <c r="V802" i="233" s="1"/>
  <c r="V801" i="233" s="1"/>
  <c r="V800" i="233" s="1"/>
  <c r="V799" i="233" s="1"/>
  <c r="V798" i="233" s="1"/>
  <c r="V797" i="233" s="1"/>
  <c r="V796" i="233" s="1"/>
  <c r="V795" i="233" s="1"/>
  <c r="V794" i="233" s="1"/>
  <c r="V793" i="233" s="1"/>
  <c r="V792" i="233" s="1"/>
  <c r="V791" i="233" s="1"/>
  <c r="V790" i="233" s="1"/>
  <c r="V789" i="233" s="1"/>
  <c r="V788" i="233" s="1"/>
  <c r="V787" i="233" s="1"/>
  <c r="V786" i="233" s="1"/>
  <c r="V785" i="233" s="1"/>
  <c r="V784" i="233" s="1"/>
  <c r="V783" i="233" s="1"/>
  <c r="V782" i="233" s="1"/>
  <c r="V781" i="233" s="1"/>
  <c r="V824" i="233" s="1"/>
  <c r="L78" i="232"/>
  <c r="M78" i="232" s="1"/>
  <c r="K78" i="232" s="1"/>
  <c r="D73" i="215"/>
  <c r="G73" i="215" s="1"/>
  <c r="H73" i="215" s="1"/>
  <c r="H72" i="215" s="1"/>
  <c r="L83" i="232"/>
  <c r="M83" i="232" s="1"/>
  <c r="K83" i="232" s="1"/>
  <c r="L89" i="232"/>
  <c r="M89" i="232" s="1"/>
  <c r="K89" i="232" s="1"/>
  <c r="L88" i="232"/>
  <c r="M88" i="232" s="1"/>
  <c r="K88" i="232" s="1"/>
  <c r="L86" i="232"/>
  <c r="M86" i="232" s="1"/>
  <c r="K86" i="232" s="1"/>
  <c r="J87" i="232"/>
  <c r="D85" i="215" s="1"/>
  <c r="G85" i="215" s="1"/>
  <c r="H85" i="215" s="1"/>
  <c r="J84" i="232"/>
  <c r="D82" i="215" s="1"/>
  <c r="G82" i="215" s="1"/>
  <c r="H82" i="215" s="1"/>
  <c r="J79" i="232"/>
  <c r="D77" i="215" s="1"/>
  <c r="G77" i="215" s="1"/>
  <c r="H77" i="215" s="1"/>
  <c r="J80" i="232"/>
  <c r="D78" i="215" s="1"/>
  <c r="G78" i="215" s="1"/>
  <c r="H78" i="215" s="1"/>
  <c r="J81" i="232"/>
  <c r="D79" i="215" s="1"/>
  <c r="G79" i="215" s="1"/>
  <c r="H79" i="215" s="1"/>
  <c r="J85" i="232"/>
  <c r="D83" i="215" s="1"/>
  <c r="G83" i="215" s="1"/>
  <c r="H83" i="215" s="1"/>
  <c r="V668" i="233"/>
  <c r="V667" i="233" s="1"/>
  <c r="V666" i="233" s="1"/>
  <c r="V665" i="233" s="1"/>
  <c r="V664" i="233" s="1"/>
  <c r="V663" i="233" s="1"/>
  <c r="V662" i="233" s="1"/>
  <c r="V661" i="233" s="1"/>
  <c r="V833" i="233"/>
  <c r="V832" i="233" s="1"/>
  <c r="V831" i="233" s="1"/>
  <c r="V830" i="233" s="1"/>
  <c r="V829" i="233" s="1"/>
  <c r="V828" i="233" s="1"/>
  <c r="V827" i="233" s="1"/>
  <c r="V826" i="233" s="1"/>
  <c r="V825" i="233" s="1"/>
  <c r="V834" i="233" s="1"/>
  <c r="M74" i="232"/>
  <c r="L77" i="232"/>
  <c r="M77" i="232" s="1"/>
  <c r="K77" i="232" s="1"/>
  <c r="D75" i="215"/>
  <c r="G75" i="215" s="1"/>
  <c r="H75" i="215" s="1"/>
  <c r="V738" i="233"/>
  <c r="V737" i="233" s="1"/>
  <c r="V736" i="233" s="1"/>
  <c r="V735" i="233" s="1"/>
  <c r="V734" i="233" s="1"/>
  <c r="V733" i="233" s="1"/>
  <c r="V779" i="233"/>
  <c r="V778" i="233" s="1"/>
  <c r="V777" i="233" s="1"/>
  <c r="V776" i="233" s="1"/>
  <c r="V775" i="233" s="1"/>
  <c r="V774" i="233" s="1"/>
  <c r="V773" i="233" s="1"/>
  <c r="V772" i="233" s="1"/>
  <c r="V771" i="233" s="1"/>
  <c r="V780" i="233" s="1"/>
  <c r="V770" i="233"/>
  <c r="V682" i="233"/>
  <c r="V681" i="233" s="1"/>
  <c r="V680" i="233" s="1"/>
  <c r="V679" i="233" s="1"/>
  <c r="V678" i="233" s="1"/>
  <c r="R748" i="233"/>
  <c r="J747" i="233"/>
  <c r="V626" i="233"/>
  <c r="V616" i="233" s="1"/>
  <c r="V677" i="233" l="1"/>
  <c r="V676" i="233" s="1"/>
  <c r="V675" i="233" s="1"/>
  <c r="V674" i="233" s="1"/>
  <c r="V673" i="233" s="1"/>
  <c r="V672" i="233" s="1"/>
  <c r="V671" i="233" s="1"/>
  <c r="V670" i="233" s="1"/>
  <c r="V683" i="233" s="1"/>
  <c r="V873" i="233"/>
  <c r="V660" i="233"/>
  <c r="V669" i="233" s="1"/>
  <c r="V732" i="233"/>
  <c r="L85" i="232"/>
  <c r="M85" i="232" s="1"/>
  <c r="K85" i="232" s="1"/>
  <c r="L79" i="232"/>
  <c r="M79" i="232" s="1"/>
  <c r="K79" i="232" s="1"/>
  <c r="L84" i="232"/>
  <c r="M84" i="232" s="1"/>
  <c r="K84" i="232" s="1"/>
  <c r="L87" i="232"/>
  <c r="M87" i="232" s="1"/>
  <c r="K87" i="232" s="1"/>
  <c r="L81" i="232"/>
  <c r="M81" i="232" s="1"/>
  <c r="K81" i="232" s="1"/>
  <c r="L80" i="232"/>
  <c r="M80" i="232" s="1"/>
  <c r="K80" i="232" s="1"/>
  <c r="J82" i="232"/>
  <c r="D80" i="215" s="1"/>
  <c r="G80" i="215" s="1"/>
  <c r="H80" i="215" s="1"/>
  <c r="H74" i="215" s="1"/>
  <c r="H71" i="215" s="1"/>
  <c r="V748" i="233"/>
  <c r="V747" i="233" s="1"/>
  <c r="V746" i="233" s="1"/>
  <c r="V745" i="233" s="1"/>
  <c r="V744" i="233" s="1"/>
  <c r="V743" i="233" s="1"/>
  <c r="V742" i="233" s="1"/>
  <c r="V741" i="233" s="1"/>
  <c r="V740" i="233" s="1"/>
  <c r="V731" i="233" l="1"/>
  <c r="V730" i="233" s="1"/>
  <c r="L82" i="232"/>
  <c r="M82" i="232" s="1"/>
  <c r="K82" i="232" s="1"/>
  <c r="K76" i="232" s="1"/>
  <c r="V727" i="233" l="1"/>
  <c r="V726" i="233" s="1"/>
  <c r="V725" i="233" s="1"/>
  <c r="V724" i="233" s="1"/>
  <c r="V723" i="233" s="1"/>
  <c r="V722" i="233" s="1"/>
  <c r="V721" i="233" s="1"/>
  <c r="V720" i="233" s="1"/>
  <c r="V719" i="233" s="1"/>
  <c r="V718" i="233" s="1"/>
  <c r="V717" i="233" s="1"/>
  <c r="V716" i="233" s="1"/>
  <c r="V715" i="233" s="1"/>
  <c r="V714" i="233" s="1"/>
  <c r="V713" i="233" s="1"/>
  <c r="V712" i="233" s="1"/>
  <c r="V711" i="233" s="1"/>
  <c r="V710" i="233" s="1"/>
  <c r="V709" i="233" s="1"/>
  <c r="V708" i="233" s="1"/>
  <c r="V707" i="233" s="1"/>
  <c r="V706" i="233" s="1"/>
  <c r="V705" i="233" s="1"/>
  <c r="V704" i="233" s="1"/>
  <c r="V703" i="233" s="1"/>
  <c r="V702" i="233" s="1"/>
  <c r="V701" i="233" s="1"/>
  <c r="V700" i="233" s="1"/>
  <c r="V699" i="233" s="1"/>
  <c r="V698" i="233" s="1"/>
  <c r="V697" i="233" s="1"/>
  <c r="V696" i="233" s="1"/>
  <c r="V695" i="233" s="1"/>
  <c r="V694" i="233" s="1"/>
  <c r="V693" i="233" s="1"/>
  <c r="V692" i="233" s="1"/>
  <c r="V691" i="233" s="1"/>
  <c r="V690" i="233" s="1"/>
  <c r="V689" i="233" s="1"/>
  <c r="V688" i="233" s="1"/>
  <c r="V687" i="233" s="1"/>
  <c r="V686" i="233" s="1"/>
  <c r="V685" i="233" s="1"/>
  <c r="V684" i="233" s="1"/>
  <c r="V729" i="233"/>
  <c r="V728" i="233" s="1"/>
  <c r="V749" i="233"/>
  <c r="K90" i="232"/>
  <c r="N72" i="220"/>
  <c r="N52" i="220" s="1"/>
  <c r="M76" i="232"/>
  <c r="M90" i="232" s="1"/>
  <c r="N50" i="220" l="1"/>
  <c r="P50" i="220" s="1"/>
  <c r="P52" i="220"/>
  <c r="E1" i="237"/>
  <c r="F19" i="219" l="1"/>
  <c r="M10" i="220"/>
  <c r="M15" i="220"/>
  <c r="M30" i="220"/>
  <c r="M35" i="220"/>
  <c r="O476" i="233" l="1"/>
  <c r="K476" i="233"/>
  <c r="N476" i="233" s="1"/>
  <c r="N514" i="233"/>
  <c r="N486" i="233"/>
  <c r="K514" i="233"/>
  <c r="R514" i="233" s="1"/>
  <c r="K486" i="233"/>
  <c r="R486" i="233" s="1"/>
  <c r="L552" i="233"/>
  <c r="K552" i="233"/>
  <c r="M552" i="233"/>
  <c r="N552" i="233" l="1"/>
  <c r="O552" i="233" s="1"/>
  <c r="R552" i="233" s="1"/>
  <c r="R476" i="233"/>
  <c r="N475" i="233" l="1"/>
  <c r="R475" i="233" s="1"/>
  <c r="L105" i="233" l="1"/>
  <c r="F17" i="219" l="1"/>
  <c r="V739" i="233" l="1"/>
  <c r="E42" i="220"/>
  <c r="E58" i="220" s="1"/>
  <c r="F42" i="220"/>
  <c r="F58" i="220" s="1"/>
  <c r="L10" i="220"/>
  <c r="K10" i="220"/>
  <c r="J10" i="220"/>
  <c r="I10" i="220"/>
  <c r="H10" i="220"/>
  <c r="K291" i="233" l="1"/>
  <c r="O252" i="233"/>
  <c r="BQ153" i="218" l="1"/>
  <c r="BQ154" i="218"/>
  <c r="BQ155" i="218"/>
  <c r="BQ156" i="218"/>
  <c r="BQ157" i="218"/>
  <c r="BQ158" i="218"/>
  <c r="BQ159" i="218"/>
  <c r="BQ160" i="218"/>
  <c r="BQ161" i="218"/>
  <c r="BQ162" i="218"/>
  <c r="BQ163" i="218"/>
  <c r="BQ164" i="218"/>
  <c r="BQ165" i="218"/>
  <c r="BQ166" i="218"/>
  <c r="BQ167" i="218"/>
  <c r="BQ168" i="218"/>
  <c r="F16" i="219" l="1"/>
  <c r="K566" i="233" l="1"/>
  <c r="N566" i="233" s="1"/>
  <c r="R566" i="233" s="1"/>
  <c r="K565" i="233"/>
  <c r="N565" i="233" s="1"/>
  <c r="R565" i="233" s="1"/>
  <c r="K564" i="233"/>
  <c r="N564" i="233" s="1"/>
  <c r="R564" i="233" s="1"/>
  <c r="K563" i="233"/>
  <c r="N563" i="233" s="1"/>
  <c r="R563" i="233" s="1"/>
  <c r="K562" i="233"/>
  <c r="N562" i="233" s="1"/>
  <c r="R562" i="233" s="1"/>
  <c r="K561" i="233"/>
  <c r="N561" i="233" s="1"/>
  <c r="R561" i="233" s="1"/>
  <c r="K551" i="233"/>
  <c r="N551" i="233" s="1"/>
  <c r="K550" i="233"/>
  <c r="N550" i="233" s="1"/>
  <c r="R550" i="233" s="1"/>
  <c r="P513" i="233"/>
  <c r="N513" i="233"/>
  <c r="P512" i="233"/>
  <c r="N512" i="233"/>
  <c r="P485" i="233"/>
  <c r="N485" i="233"/>
  <c r="R507" i="233"/>
  <c r="P484" i="233"/>
  <c r="N484" i="233"/>
  <c r="N474" i="233"/>
  <c r="R474" i="233" s="1"/>
  <c r="N473" i="233"/>
  <c r="R473" i="233" s="1"/>
  <c r="N472" i="233"/>
  <c r="R472" i="233" s="1"/>
  <c r="R484" i="233" l="1"/>
  <c r="R485" i="233"/>
  <c r="R512" i="233"/>
  <c r="R513" i="233"/>
  <c r="R506" i="233" l="1"/>
  <c r="R508" i="233" s="1"/>
  <c r="J63" i="232" l="1"/>
  <c r="K574" i="233" l="1"/>
  <c r="R574" i="233" s="1"/>
  <c r="R290" i="233"/>
  <c r="F14" i="219"/>
  <c r="J30" i="220"/>
  <c r="K290" i="233" l="1"/>
  <c r="K289" i="233"/>
  <c r="C12" i="215" l="1"/>
  <c r="J13" i="232" l="1"/>
  <c r="I52" i="232"/>
  <c r="F13" i="219"/>
  <c r="C287" i="233"/>
  <c r="K584" i="233"/>
  <c r="R584" i="233" s="1"/>
  <c r="K253" i="233" l="1"/>
  <c r="R253" i="233"/>
  <c r="R252" i="233"/>
  <c r="K163" i="233"/>
  <c r="K153" i="233"/>
  <c r="G113" i="218"/>
  <c r="I60" i="232" l="1"/>
  <c r="I61" i="232"/>
  <c r="I62" i="232"/>
  <c r="I63" i="232"/>
  <c r="I64" i="232"/>
  <c r="I65" i="232"/>
  <c r="I66" i="232"/>
  <c r="I67" i="232"/>
  <c r="I68" i="232"/>
  <c r="I69" i="232"/>
  <c r="I70" i="232"/>
  <c r="I71" i="232"/>
  <c r="I59" i="232"/>
  <c r="I55" i="232"/>
  <c r="I56" i="232"/>
  <c r="I57" i="232"/>
  <c r="I54" i="232"/>
  <c r="I47" i="232"/>
  <c r="I48" i="232"/>
  <c r="I49" i="232"/>
  <c r="I50" i="232"/>
  <c r="I46" i="232"/>
  <c r="I34" i="232"/>
  <c r="I35" i="232"/>
  <c r="I36" i="232"/>
  <c r="I37" i="232"/>
  <c r="I38" i="232"/>
  <c r="I39" i="232"/>
  <c r="I40" i="232"/>
  <c r="I41" i="232"/>
  <c r="I42" i="232"/>
  <c r="I43" i="232"/>
  <c r="I44" i="232"/>
  <c r="I33" i="232"/>
  <c r="I27" i="232"/>
  <c r="I28" i="232"/>
  <c r="I29" i="232"/>
  <c r="I26" i="232"/>
  <c r="I25" i="232"/>
  <c r="I18" i="232"/>
  <c r="I19" i="232"/>
  <c r="I20" i="232"/>
  <c r="I21" i="232"/>
  <c r="I22" i="232"/>
  <c r="I23" i="232"/>
  <c r="I17" i="232"/>
  <c r="F12" i="219" l="1"/>
  <c r="K573" i="233"/>
  <c r="K252" i="233"/>
  <c r="K162" i="233"/>
  <c r="K152" i="233"/>
  <c r="T256" i="218" l="1"/>
  <c r="O256" i="218" s="1"/>
  <c r="R604" i="233"/>
  <c r="R603" i="233"/>
  <c r="K463" i="233"/>
  <c r="R463" i="233" s="1"/>
  <c r="Z147" i="218" l="1"/>
  <c r="Z212" i="218" s="1"/>
  <c r="L41" i="219" l="1"/>
  <c r="F11" i="219"/>
  <c r="E65" i="215" l="1"/>
  <c r="R354" i="233"/>
  <c r="R353" i="233"/>
  <c r="R352" i="233"/>
  <c r="R375" i="233" l="1"/>
  <c r="J376" i="233" s="1"/>
  <c r="J137" i="233"/>
  <c r="J124" i="233"/>
  <c r="J111" i="233"/>
  <c r="J98" i="233"/>
  <c r="B65" i="215"/>
  <c r="B17" i="215"/>
  <c r="C65" i="215"/>
  <c r="C40" i="220"/>
  <c r="C70" i="220" s="1"/>
  <c r="C35" i="220"/>
  <c r="C30" i="220"/>
  <c r="C68" i="220" s="1"/>
  <c r="C25" i="220"/>
  <c r="C67" i="220" s="1"/>
  <c r="C20" i="220"/>
  <c r="C66" i="220" s="1"/>
  <c r="C15" i="220"/>
  <c r="C10" i="220"/>
  <c r="C64" i="220" s="1"/>
  <c r="G11" i="220"/>
  <c r="R22" i="233"/>
  <c r="R32" i="233"/>
  <c r="R42" i="233"/>
  <c r="R52" i="233"/>
  <c r="R62" i="233"/>
  <c r="R72" i="233"/>
  <c r="R82" i="233"/>
  <c r="R157" i="233"/>
  <c r="R167" i="233"/>
  <c r="R177" i="233"/>
  <c r="R187" i="233"/>
  <c r="R197" i="233"/>
  <c r="R207" i="233"/>
  <c r="R217" i="233"/>
  <c r="R227" i="233"/>
  <c r="R237" i="233"/>
  <c r="R247" i="233"/>
  <c r="R257" i="233"/>
  <c r="R267" i="233"/>
  <c r="R284" i="233"/>
  <c r="R295" i="233"/>
  <c r="R305" i="233"/>
  <c r="R315" i="233"/>
  <c r="R325" i="233"/>
  <c r="R346" i="233"/>
  <c r="R386" i="233"/>
  <c r="R396" i="233"/>
  <c r="R406" i="233"/>
  <c r="R433" i="233"/>
  <c r="R434" i="233" s="1"/>
  <c r="R457" i="233"/>
  <c r="R467" i="233"/>
  <c r="R479" i="233"/>
  <c r="R535" i="233"/>
  <c r="R545" i="233"/>
  <c r="R556" i="233"/>
  <c r="R568" i="233"/>
  <c r="R578" i="233"/>
  <c r="R588" i="233"/>
  <c r="R598" i="233"/>
  <c r="R612" i="233"/>
  <c r="R93" i="233"/>
  <c r="R106" i="233"/>
  <c r="R119" i="233"/>
  <c r="R132" i="233"/>
  <c r="R145" i="233"/>
  <c r="Y84" i="218"/>
  <c r="E168" i="218"/>
  <c r="E167" i="218"/>
  <c r="E166" i="218"/>
  <c r="E165" i="218"/>
  <c r="E164" i="218"/>
  <c r="E163" i="218"/>
  <c r="E162" i="218"/>
  <c r="E161" i="218"/>
  <c r="E160" i="218"/>
  <c r="E159" i="218"/>
  <c r="E158" i="218"/>
  <c r="E157" i="218"/>
  <c r="G88" i="218"/>
  <c r="G89" i="218"/>
  <c r="G107" i="218"/>
  <c r="G108" i="218"/>
  <c r="G109" i="218"/>
  <c r="G110" i="218"/>
  <c r="G111" i="218"/>
  <c r="G112" i="218"/>
  <c r="G118" i="218"/>
  <c r="G117" i="218"/>
  <c r="G116" i="218"/>
  <c r="G115" i="218"/>
  <c r="G114" i="218"/>
  <c r="G97" i="218"/>
  <c r="G93" i="218"/>
  <c r="G94" i="218"/>
  <c r="G95" i="218"/>
  <c r="G96" i="218"/>
  <c r="G92" i="218"/>
  <c r="G91" i="218"/>
  <c r="G90" i="218"/>
  <c r="F10" i="219"/>
  <c r="T153" i="218"/>
  <c r="T154" i="218"/>
  <c r="X154" i="218" s="1"/>
  <c r="T155" i="218"/>
  <c r="T156" i="218"/>
  <c r="T157" i="218"/>
  <c r="T158" i="218"/>
  <c r="T159" i="218"/>
  <c r="T160" i="218"/>
  <c r="T161" i="218"/>
  <c r="X161" i="218" s="1"/>
  <c r="T162" i="218"/>
  <c r="X162" i="218" s="1"/>
  <c r="T163" i="218"/>
  <c r="X163" i="218" s="1"/>
  <c r="T164" i="218"/>
  <c r="X164" i="218" s="1"/>
  <c r="T165" i="218"/>
  <c r="X165" i="218" s="1"/>
  <c r="T166" i="218"/>
  <c r="X166" i="218" s="1"/>
  <c r="T167" i="218"/>
  <c r="X167" i="218" s="1"/>
  <c r="T168" i="218"/>
  <c r="X168" i="218" s="1"/>
  <c r="AA108" i="218"/>
  <c r="X108" i="218" s="1"/>
  <c r="AA109" i="218"/>
  <c r="X109" i="218" s="1"/>
  <c r="AA110" i="218"/>
  <c r="X110" i="218" s="1"/>
  <c r="AA111" i="218"/>
  <c r="X111" i="218" s="1"/>
  <c r="AA112" i="218"/>
  <c r="X112" i="218" s="1"/>
  <c r="AA113" i="218"/>
  <c r="X113" i="218" s="1"/>
  <c r="AA114" i="218"/>
  <c r="X114" i="218" s="1"/>
  <c r="AA115" i="218"/>
  <c r="AA116" i="218"/>
  <c r="AA117" i="218"/>
  <c r="AA118" i="218"/>
  <c r="AA107" i="218"/>
  <c r="X107" i="218" s="1"/>
  <c r="AA89" i="218"/>
  <c r="X89" i="218" s="1"/>
  <c r="AA90" i="218"/>
  <c r="X90" i="218" s="1"/>
  <c r="AA91" i="218"/>
  <c r="X91" i="218" s="1"/>
  <c r="AA92" i="218"/>
  <c r="AA93" i="218"/>
  <c r="AA94" i="218"/>
  <c r="AA95" i="218"/>
  <c r="AA96" i="218"/>
  <c r="AA97" i="218"/>
  <c r="AA88" i="218"/>
  <c r="X88" i="218" s="1"/>
  <c r="C11" i="215"/>
  <c r="K583" i="233"/>
  <c r="R583" i="233" s="1"/>
  <c r="R587" i="233" s="1"/>
  <c r="R573" i="233"/>
  <c r="R577" i="233" s="1"/>
  <c r="K462" i="233"/>
  <c r="R462" i="233" s="1"/>
  <c r="R57" i="233"/>
  <c r="R61" i="233" s="1"/>
  <c r="N67" i="233"/>
  <c r="R67" i="233" s="1"/>
  <c r="R71" i="233" s="1"/>
  <c r="A36" i="237"/>
  <c r="A1" i="237"/>
  <c r="F15" i="220"/>
  <c r="F10" i="220"/>
  <c r="F40" i="220"/>
  <c r="F35" i="220"/>
  <c r="F30" i="220"/>
  <c r="F25" i="220"/>
  <c r="F20" i="220"/>
  <c r="C69" i="220"/>
  <c r="F9" i="220"/>
  <c r="G9" i="220" s="1"/>
  <c r="H9" i="220" s="1"/>
  <c r="I9" i="220" s="1"/>
  <c r="J9" i="220" s="1"/>
  <c r="K9" i="220" s="1"/>
  <c r="L9" i="220" s="1"/>
  <c r="M9" i="220" s="1"/>
  <c r="N9" i="220" s="1"/>
  <c r="E55" i="215"/>
  <c r="C55" i="215"/>
  <c r="B55" i="215"/>
  <c r="C15" i="215"/>
  <c r="B15" i="215"/>
  <c r="R405" i="233"/>
  <c r="L405" i="233"/>
  <c r="S405" i="233" s="1"/>
  <c r="J405" i="233"/>
  <c r="C400" i="233"/>
  <c r="B400" i="233"/>
  <c r="C399" i="233"/>
  <c r="B399" i="233"/>
  <c r="B548" i="233"/>
  <c r="C548" i="233"/>
  <c r="B549" i="233"/>
  <c r="C549" i="233"/>
  <c r="J555" i="233"/>
  <c r="L555" i="233"/>
  <c r="S555" i="233" s="1"/>
  <c r="R555" i="233"/>
  <c r="B559" i="233"/>
  <c r="C559" i="233"/>
  <c r="B560" i="233"/>
  <c r="C560" i="233"/>
  <c r="J567" i="233"/>
  <c r="L567" i="233"/>
  <c r="S568" i="233" s="1"/>
  <c r="R567" i="233"/>
  <c r="B571" i="233"/>
  <c r="C571" i="233"/>
  <c r="B572" i="233"/>
  <c r="C572" i="233"/>
  <c r="J577" i="233"/>
  <c r="L577" i="233"/>
  <c r="S579" i="233" s="1"/>
  <c r="B581" i="233"/>
  <c r="C581" i="233"/>
  <c r="B582" i="233"/>
  <c r="C582" i="233"/>
  <c r="J587" i="233"/>
  <c r="L587" i="233"/>
  <c r="S589" i="233" s="1"/>
  <c r="B591" i="233"/>
  <c r="C591" i="233"/>
  <c r="B592" i="233"/>
  <c r="C592" i="233"/>
  <c r="J597" i="233"/>
  <c r="L597" i="233"/>
  <c r="S599" i="233" s="1"/>
  <c r="R597" i="233"/>
  <c r="B601" i="233"/>
  <c r="C601" i="233"/>
  <c r="B602" i="233"/>
  <c r="C602" i="233"/>
  <c r="J611" i="233"/>
  <c r="L611" i="233"/>
  <c r="S611" i="233" s="1"/>
  <c r="R611" i="233"/>
  <c r="J21" i="233"/>
  <c r="C96" i="233"/>
  <c r="C14" i="233"/>
  <c r="G71" i="232"/>
  <c r="G70" i="232"/>
  <c r="G69" i="232"/>
  <c r="G68" i="232"/>
  <c r="G67" i="232"/>
  <c r="G66" i="232"/>
  <c r="G65" i="232"/>
  <c r="G64" i="232"/>
  <c r="G63" i="232"/>
  <c r="G62" i="232"/>
  <c r="G61" i="232"/>
  <c r="G60" i="232"/>
  <c r="G59" i="232"/>
  <c r="G56" i="232"/>
  <c r="G55" i="232"/>
  <c r="G54" i="232"/>
  <c r="G57" i="232"/>
  <c r="G47" i="232"/>
  <c r="G50" i="232"/>
  <c r="G49" i="232"/>
  <c r="G48" i="232"/>
  <c r="G46" i="232"/>
  <c r="G44" i="232"/>
  <c r="G43" i="232"/>
  <c r="G42" i="232"/>
  <c r="G41" i="232"/>
  <c r="G40" i="232"/>
  <c r="G39" i="232"/>
  <c r="G38" i="232"/>
  <c r="G37" i="232"/>
  <c r="G36" i="232"/>
  <c r="G35" i="232"/>
  <c r="G34" i="232"/>
  <c r="G33" i="232"/>
  <c r="B7" i="232"/>
  <c r="C6" i="233" s="1"/>
  <c r="AC223" i="218"/>
  <c r="AA223" i="218"/>
  <c r="Y223" i="218"/>
  <c r="W223" i="218"/>
  <c r="U223" i="218"/>
  <c r="S223" i="218"/>
  <c r="Q223" i="218"/>
  <c r="O223" i="218"/>
  <c r="M223" i="218"/>
  <c r="K223" i="218"/>
  <c r="I223" i="218"/>
  <c r="G223" i="218"/>
  <c r="E223" i="218"/>
  <c r="R264" i="215"/>
  <c r="R260" i="232"/>
  <c r="J294" i="233"/>
  <c r="R544" i="233"/>
  <c r="R345" i="233"/>
  <c r="B4" i="219"/>
  <c r="B142" i="218"/>
  <c r="F73" i="220"/>
  <c r="R92" i="233"/>
  <c r="I45" i="232"/>
  <c r="I58" i="232"/>
  <c r="I32" i="232"/>
  <c r="S52" i="158"/>
  <c r="S51" i="158"/>
  <c r="R51" i="158"/>
  <c r="S50" i="158"/>
  <c r="R50" i="158"/>
  <c r="J50" i="158"/>
  <c r="C12" i="158"/>
  <c r="B12" i="158"/>
  <c r="B11" i="158"/>
  <c r="C10" i="158"/>
  <c r="C9" i="158"/>
  <c r="C8" i="158"/>
  <c r="C7" i="158"/>
  <c r="S52" i="157"/>
  <c r="S51" i="157"/>
  <c r="R51" i="157"/>
  <c r="S50" i="157"/>
  <c r="R50" i="157"/>
  <c r="J50" i="157"/>
  <c r="C12" i="157"/>
  <c r="B12" i="157"/>
  <c r="B11" i="157"/>
  <c r="C10" i="157"/>
  <c r="C9" i="157"/>
  <c r="C8" i="157"/>
  <c r="C7" i="157"/>
  <c r="S52" i="156"/>
  <c r="S51" i="156"/>
  <c r="S50" i="156"/>
  <c r="J50" i="156"/>
  <c r="O15" i="156"/>
  <c r="R15" i="156" s="1"/>
  <c r="O14" i="156"/>
  <c r="R14" i="156" s="1"/>
  <c r="R51" i="156" s="1"/>
  <c r="C12" i="156"/>
  <c r="B12" i="156"/>
  <c r="B11" i="156"/>
  <c r="C10" i="156"/>
  <c r="C9" i="156"/>
  <c r="C8" i="156"/>
  <c r="C7" i="156"/>
  <c r="S52" i="155"/>
  <c r="S51" i="155"/>
  <c r="S50" i="155"/>
  <c r="J50" i="155"/>
  <c r="O15" i="155"/>
  <c r="O14" i="155"/>
  <c r="R14" i="155" s="1"/>
  <c r="R50" i="155" s="1"/>
  <c r="C12" i="155"/>
  <c r="B12" i="155"/>
  <c r="B11" i="155"/>
  <c r="C11" i="155" s="1"/>
  <c r="C10" i="155"/>
  <c r="C9" i="155"/>
  <c r="C8" i="155"/>
  <c r="C7" i="155"/>
  <c r="S52" i="154"/>
  <c r="S51" i="154"/>
  <c r="S50" i="154"/>
  <c r="J50" i="154"/>
  <c r="R15" i="154"/>
  <c r="R14" i="154"/>
  <c r="C12" i="154"/>
  <c r="B12" i="154"/>
  <c r="B11" i="154"/>
  <c r="C11" i="154" s="1"/>
  <c r="C10" i="154"/>
  <c r="C9" i="154"/>
  <c r="C8" i="154"/>
  <c r="C7" i="154"/>
  <c r="S52" i="153"/>
  <c r="S51" i="153"/>
  <c r="S50" i="153"/>
  <c r="R15" i="153"/>
  <c r="O14" i="153"/>
  <c r="R14" i="153" s="1"/>
  <c r="R51" i="153" s="1"/>
  <c r="L14" i="153"/>
  <c r="C12" i="153"/>
  <c r="B12" i="153"/>
  <c r="B11" i="153"/>
  <c r="C10" i="153"/>
  <c r="C9" i="153"/>
  <c r="C8" i="153"/>
  <c r="C7" i="153"/>
  <c r="S52" i="152"/>
  <c r="S51" i="152"/>
  <c r="S50" i="152"/>
  <c r="R14" i="152"/>
  <c r="R50" i="152" s="1"/>
  <c r="J51" i="152" s="1"/>
  <c r="C12" i="152"/>
  <c r="B12" i="152"/>
  <c r="B11" i="152"/>
  <c r="C10" i="152"/>
  <c r="C9" i="152"/>
  <c r="C8" i="152"/>
  <c r="C7" i="152"/>
  <c r="S52" i="151"/>
  <c r="S51" i="151"/>
  <c r="S50" i="151"/>
  <c r="R50" i="151"/>
  <c r="J50" i="151"/>
  <c r="C12" i="151"/>
  <c r="B12" i="151"/>
  <c r="B11" i="151"/>
  <c r="C11" i="151" s="1"/>
  <c r="C10" i="151"/>
  <c r="C9" i="151"/>
  <c r="C8" i="151"/>
  <c r="C7" i="151"/>
  <c r="S52" i="164"/>
  <c r="S51" i="164"/>
  <c r="S50" i="164"/>
  <c r="J50" i="164"/>
  <c r="O14" i="164"/>
  <c r="R14" i="164" s="1"/>
  <c r="R51" i="164" s="1"/>
  <c r="C12" i="164"/>
  <c r="B12" i="164"/>
  <c r="B11" i="164"/>
  <c r="C10" i="164"/>
  <c r="C9" i="164"/>
  <c r="C8" i="164"/>
  <c r="C7" i="164"/>
  <c r="S52" i="163"/>
  <c r="S51" i="163"/>
  <c r="S50" i="163"/>
  <c r="R14" i="163"/>
  <c r="C12" i="163"/>
  <c r="B12" i="163"/>
  <c r="B11" i="163"/>
  <c r="C11" i="163" s="1"/>
  <c r="C10" i="163"/>
  <c r="C9" i="163"/>
  <c r="C8" i="163"/>
  <c r="C7" i="163"/>
  <c r="S52" i="162"/>
  <c r="S51" i="162"/>
  <c r="S50" i="162"/>
  <c r="O14" i="162"/>
  <c r="R14" i="162" s="1"/>
  <c r="C12" i="162"/>
  <c r="B12" i="162"/>
  <c r="B11" i="162"/>
  <c r="C11" i="162" s="1"/>
  <c r="C10" i="162"/>
  <c r="C9" i="162"/>
  <c r="C8" i="162"/>
  <c r="C7" i="162"/>
  <c r="S54" i="161"/>
  <c r="S53" i="161"/>
  <c r="S52" i="161"/>
  <c r="J52" i="161"/>
  <c r="R28" i="161"/>
  <c r="O28" i="161"/>
  <c r="O27" i="161"/>
  <c r="R27" i="161" s="1"/>
  <c r="L27" i="161"/>
  <c r="O26" i="161"/>
  <c r="R26" i="161" s="1"/>
  <c r="L26" i="161"/>
  <c r="O25" i="161"/>
  <c r="R25" i="161" s="1"/>
  <c r="L25" i="161"/>
  <c r="O24" i="161"/>
  <c r="R24" i="161" s="1"/>
  <c r="L24" i="161"/>
  <c r="O23" i="161"/>
  <c r="R23" i="161" s="1"/>
  <c r="L23" i="161"/>
  <c r="O22" i="161"/>
  <c r="R22" i="161" s="1"/>
  <c r="L22" i="161"/>
  <c r="O21" i="161"/>
  <c r="R21" i="161" s="1"/>
  <c r="L21" i="161"/>
  <c r="O20" i="161"/>
  <c r="R20" i="161" s="1"/>
  <c r="L20" i="161"/>
  <c r="K19" i="161"/>
  <c r="N19" i="161" s="1"/>
  <c r="O19" i="161" s="1"/>
  <c r="R19" i="161" s="1"/>
  <c r="O18" i="161"/>
  <c r="R18" i="161" s="1"/>
  <c r="L18" i="161"/>
  <c r="O17" i="161"/>
  <c r="R17" i="161" s="1"/>
  <c r="O16" i="161"/>
  <c r="R16" i="161" s="1"/>
  <c r="L16" i="161"/>
  <c r="O15" i="161"/>
  <c r="R15" i="161" s="1"/>
  <c r="L15" i="161"/>
  <c r="O14" i="161"/>
  <c r="R14" i="161" s="1"/>
  <c r="L14" i="161"/>
  <c r="C12" i="161"/>
  <c r="B12" i="161"/>
  <c r="B11" i="161"/>
  <c r="C11" i="161" s="1"/>
  <c r="C10" i="161"/>
  <c r="C9" i="161"/>
  <c r="C8" i="161"/>
  <c r="C7" i="161"/>
  <c r="S52" i="160"/>
  <c r="S51" i="160"/>
  <c r="S50" i="160"/>
  <c r="J50" i="160"/>
  <c r="R33" i="160"/>
  <c r="R32" i="160"/>
  <c r="R31" i="160"/>
  <c r="R30" i="160"/>
  <c r="R29" i="160"/>
  <c r="R28" i="160"/>
  <c r="R27" i="160"/>
  <c r="R26" i="160"/>
  <c r="R25" i="160"/>
  <c r="R24" i="160"/>
  <c r="R23" i="160"/>
  <c r="R22" i="160"/>
  <c r="R21" i="160"/>
  <c r="R20" i="160"/>
  <c r="R19" i="160"/>
  <c r="R18" i="160"/>
  <c r="R17" i="160"/>
  <c r="R16" i="160"/>
  <c r="R15" i="160"/>
  <c r="R14" i="160"/>
  <c r="C12" i="160"/>
  <c r="B12" i="160"/>
  <c r="B11" i="160"/>
  <c r="C11" i="160" s="1"/>
  <c r="C10" i="160"/>
  <c r="C9" i="160"/>
  <c r="C8" i="160"/>
  <c r="C7" i="160"/>
  <c r="L50" i="137"/>
  <c r="S50" i="137" s="1"/>
  <c r="J50" i="137"/>
  <c r="R29" i="137"/>
  <c r="R28" i="137"/>
  <c r="R27" i="137"/>
  <c r="R26" i="137"/>
  <c r="R25" i="137"/>
  <c r="R24" i="137"/>
  <c r="R23" i="137"/>
  <c r="R22" i="137"/>
  <c r="R21" i="137"/>
  <c r="R20" i="137"/>
  <c r="R19" i="137"/>
  <c r="R18" i="137"/>
  <c r="R17" i="137"/>
  <c r="R16" i="137"/>
  <c r="R15" i="137"/>
  <c r="R14" i="137"/>
  <c r="C12" i="137"/>
  <c r="B12" i="137"/>
  <c r="B11" i="137"/>
  <c r="C11" i="137" s="1"/>
  <c r="C10" i="137"/>
  <c r="C9" i="137"/>
  <c r="C8" i="137"/>
  <c r="C7" i="137"/>
  <c r="L50" i="136"/>
  <c r="S52" i="136" s="1"/>
  <c r="J50" i="136"/>
  <c r="R25" i="136"/>
  <c r="L25" i="136"/>
  <c r="L24" i="136"/>
  <c r="L23" i="136"/>
  <c r="R22" i="136"/>
  <c r="L22" i="136"/>
  <c r="R21" i="136"/>
  <c r="L21" i="136"/>
  <c r="R20" i="136"/>
  <c r="L20" i="136"/>
  <c r="R19" i="136"/>
  <c r="L19" i="136"/>
  <c r="R18" i="136"/>
  <c r="L18" i="136"/>
  <c r="R17" i="136"/>
  <c r="L17" i="136"/>
  <c r="R16" i="136"/>
  <c r="L16" i="136"/>
  <c r="R15" i="136"/>
  <c r="L15" i="136"/>
  <c r="R14" i="136"/>
  <c r="L14" i="136"/>
  <c r="C12" i="136"/>
  <c r="B12" i="136"/>
  <c r="B11" i="136"/>
  <c r="C11" i="136" s="1"/>
  <c r="C10" i="136"/>
  <c r="C9" i="136"/>
  <c r="C8" i="136"/>
  <c r="C7" i="136"/>
  <c r="L50" i="135"/>
  <c r="S52" i="135" s="1"/>
  <c r="J50" i="135"/>
  <c r="R16" i="135"/>
  <c r="R15" i="135"/>
  <c r="R14" i="135"/>
  <c r="C12" i="135"/>
  <c r="B12" i="135"/>
  <c r="B11" i="135"/>
  <c r="C11" i="135" s="1"/>
  <c r="C10" i="135"/>
  <c r="C9" i="135"/>
  <c r="C8" i="135"/>
  <c r="C7" i="135"/>
  <c r="R51" i="134"/>
  <c r="L50" i="134"/>
  <c r="S50" i="134" s="1"/>
  <c r="J50" i="134"/>
  <c r="R24" i="134"/>
  <c r="R23" i="134"/>
  <c r="R22" i="134"/>
  <c r="R21" i="134"/>
  <c r="R20" i="134"/>
  <c r="R19" i="134"/>
  <c r="R18" i="134"/>
  <c r="N17" i="134"/>
  <c r="R17" i="134" s="1"/>
  <c r="R16" i="134"/>
  <c r="R15" i="134"/>
  <c r="R14" i="134"/>
  <c r="C12" i="134"/>
  <c r="B12" i="134"/>
  <c r="B11" i="134"/>
  <c r="C11" i="134" s="1"/>
  <c r="C10" i="134"/>
  <c r="C9" i="134"/>
  <c r="C8" i="134"/>
  <c r="C7" i="134"/>
  <c r="L50" i="133"/>
  <c r="S50" i="133" s="1"/>
  <c r="J50" i="133"/>
  <c r="R40" i="133"/>
  <c r="R39" i="133"/>
  <c r="R38" i="133"/>
  <c r="K37" i="133"/>
  <c r="R37" i="133" s="1"/>
  <c r="R36" i="133"/>
  <c r="R35" i="133"/>
  <c r="R34" i="133"/>
  <c r="R33" i="133"/>
  <c r="R32" i="133"/>
  <c r="R31" i="133"/>
  <c r="R30" i="133"/>
  <c r="R29" i="133"/>
  <c r="R28" i="133"/>
  <c r="R27" i="133"/>
  <c r="R26" i="133"/>
  <c r="R25" i="133"/>
  <c r="R24" i="133"/>
  <c r="R23" i="133"/>
  <c r="R22" i="133"/>
  <c r="R21" i="133"/>
  <c r="R20" i="133"/>
  <c r="R19" i="133"/>
  <c r="R18" i="133"/>
  <c r="R17" i="133"/>
  <c r="R16" i="133"/>
  <c r="R15" i="133"/>
  <c r="C13" i="133"/>
  <c r="B13" i="133"/>
  <c r="B12" i="133"/>
  <c r="C12" i="133" s="1"/>
  <c r="B11" i="133"/>
  <c r="C11" i="133" s="1"/>
  <c r="C10" i="133"/>
  <c r="C9" i="133"/>
  <c r="C8" i="133"/>
  <c r="C7" i="133"/>
  <c r="R51" i="193"/>
  <c r="R50" i="193"/>
  <c r="L50" i="193"/>
  <c r="S51" i="193" s="1"/>
  <c r="J50" i="193"/>
  <c r="C12" i="193"/>
  <c r="B12" i="193"/>
  <c r="B11" i="193"/>
  <c r="C11" i="193" s="1"/>
  <c r="C10" i="193"/>
  <c r="C9" i="193"/>
  <c r="C8" i="193"/>
  <c r="C7" i="193"/>
  <c r="R51" i="130"/>
  <c r="R50" i="130"/>
  <c r="L50" i="130"/>
  <c r="S51" i="130" s="1"/>
  <c r="J50" i="130"/>
  <c r="C12" i="130"/>
  <c r="B12" i="130"/>
  <c r="B11" i="130"/>
  <c r="C11" i="130" s="1"/>
  <c r="C10" i="130"/>
  <c r="C9" i="130"/>
  <c r="C8" i="130"/>
  <c r="C7" i="130"/>
  <c r="R52" i="129"/>
  <c r="R51" i="129"/>
  <c r="L51" i="129"/>
  <c r="S53" i="129" s="1"/>
  <c r="J51" i="129"/>
  <c r="C12" i="129"/>
  <c r="B12" i="129"/>
  <c r="B11" i="129"/>
  <c r="C11" i="129" s="1"/>
  <c r="C10" i="129"/>
  <c r="C9" i="129"/>
  <c r="C8" i="129"/>
  <c r="C7" i="129"/>
  <c r="R52" i="128"/>
  <c r="R51" i="128"/>
  <c r="L51" i="128"/>
  <c r="S52" i="128" s="1"/>
  <c r="J51" i="128"/>
  <c r="C12" i="128"/>
  <c r="B12" i="128"/>
  <c r="B11" i="128"/>
  <c r="C11" i="128" s="1"/>
  <c r="C10" i="128"/>
  <c r="C9" i="128"/>
  <c r="C8" i="128"/>
  <c r="C7" i="128"/>
  <c r="L49" i="126"/>
  <c r="J49" i="126"/>
  <c r="O48" i="126"/>
  <c r="R48" i="126" s="1"/>
  <c r="O47" i="126"/>
  <c r="R47" i="126" s="1"/>
  <c r="O46" i="126"/>
  <c r="R46" i="126" s="1"/>
  <c r="O45" i="126"/>
  <c r="R45" i="126" s="1"/>
  <c r="O44" i="126"/>
  <c r="R44" i="126" s="1"/>
  <c r="O43" i="126"/>
  <c r="R43" i="126" s="1"/>
  <c r="O42" i="126"/>
  <c r="R42" i="126" s="1"/>
  <c r="O41" i="126"/>
  <c r="R41" i="126" s="1"/>
  <c r="O40" i="126"/>
  <c r="R40" i="126" s="1"/>
  <c r="O39" i="126"/>
  <c r="R39" i="126" s="1"/>
  <c r="O38" i="126"/>
  <c r="R38" i="126" s="1"/>
  <c r="O37" i="126"/>
  <c r="R37" i="126" s="1"/>
  <c r="L37" i="126"/>
  <c r="O36" i="126"/>
  <c r="R36" i="126" s="1"/>
  <c r="O35" i="126"/>
  <c r="R35" i="126" s="1"/>
  <c r="O34" i="126"/>
  <c r="R34" i="126" s="1"/>
  <c r="O33" i="126"/>
  <c r="R33" i="126" s="1"/>
  <c r="O32" i="126"/>
  <c r="R32" i="126" s="1"/>
  <c r="O31" i="126"/>
  <c r="R31" i="126" s="1"/>
  <c r="O30" i="126"/>
  <c r="R30" i="126" s="1"/>
  <c r="O29" i="126"/>
  <c r="R29" i="126" s="1"/>
  <c r="O28" i="126"/>
  <c r="R28" i="126" s="1"/>
  <c r="O27" i="126"/>
  <c r="R27" i="126" s="1"/>
  <c r="O26" i="126"/>
  <c r="R26" i="126" s="1"/>
  <c r="O25" i="126"/>
  <c r="R25" i="126" s="1"/>
  <c r="R24" i="126"/>
  <c r="R23" i="126"/>
  <c r="K22" i="126"/>
  <c r="R22" i="126" s="1"/>
  <c r="R21" i="126"/>
  <c r="O19" i="126"/>
  <c r="R19" i="126" s="1"/>
  <c r="O18" i="126"/>
  <c r="R18" i="126" s="1"/>
  <c r="O17" i="126"/>
  <c r="R17" i="126" s="1"/>
  <c r="K16" i="126"/>
  <c r="P16" i="126" s="1"/>
  <c r="K15" i="126"/>
  <c r="P15" i="126" s="1"/>
  <c r="N14" i="126"/>
  <c r="O14" i="126" s="1"/>
  <c r="R14" i="126" s="1"/>
  <c r="C12" i="126"/>
  <c r="B12" i="126"/>
  <c r="B11" i="126"/>
  <c r="C11" i="126" s="1"/>
  <c r="C10" i="126"/>
  <c r="C9" i="126"/>
  <c r="C8" i="126"/>
  <c r="C7" i="126"/>
  <c r="S54" i="179"/>
  <c r="S53" i="179"/>
  <c r="S52" i="179"/>
  <c r="R52" i="179"/>
  <c r="J53" i="179" s="1"/>
  <c r="B11" i="179"/>
  <c r="L50" i="165"/>
  <c r="R15" i="165"/>
  <c r="K14" i="165"/>
  <c r="N14" i="165" s="1"/>
  <c r="O14" i="165" s="1"/>
  <c r="R14" i="165" s="1"/>
  <c r="C12" i="165"/>
  <c r="B12" i="165"/>
  <c r="C10" i="165"/>
  <c r="C9" i="165"/>
  <c r="C8" i="165"/>
  <c r="C7" i="165"/>
  <c r="L13" i="216"/>
  <c r="H13" i="216"/>
  <c r="E13" i="216"/>
  <c r="L12" i="216"/>
  <c r="H12" i="216"/>
  <c r="E12" i="216"/>
  <c r="L11" i="216"/>
  <c r="H11" i="216"/>
  <c r="E11" i="216"/>
  <c r="L10" i="216"/>
  <c r="H10" i="216"/>
  <c r="E10" i="216"/>
  <c r="L544" i="233"/>
  <c r="S546" i="233" s="1"/>
  <c r="J544" i="233"/>
  <c r="C539" i="233"/>
  <c r="B539" i="233"/>
  <c r="C538" i="233"/>
  <c r="B538" i="233"/>
  <c r="L534" i="233"/>
  <c r="S535" i="233" s="1"/>
  <c r="J534" i="233"/>
  <c r="R534" i="233"/>
  <c r="C511" i="233"/>
  <c r="B511" i="233"/>
  <c r="C510" i="233"/>
  <c r="B510" i="233"/>
  <c r="L506" i="233"/>
  <c r="S508" i="233" s="1"/>
  <c r="J506" i="233"/>
  <c r="C483" i="233"/>
  <c r="B483" i="233"/>
  <c r="C482" i="233"/>
  <c r="B482" i="233"/>
  <c r="R478" i="233"/>
  <c r="L478" i="233"/>
  <c r="S479" i="233" s="1"/>
  <c r="J478" i="233"/>
  <c r="C471" i="233"/>
  <c r="B471" i="233"/>
  <c r="C470" i="233"/>
  <c r="B470" i="233"/>
  <c r="L466" i="233"/>
  <c r="S468" i="233" s="1"/>
  <c r="J466" i="233"/>
  <c r="C461" i="233"/>
  <c r="B461" i="233"/>
  <c r="C460" i="233"/>
  <c r="B460" i="233"/>
  <c r="L456" i="233"/>
  <c r="S457" i="233" s="1"/>
  <c r="J456" i="233"/>
  <c r="J457" i="233" s="1"/>
  <c r="C437" i="233"/>
  <c r="B437" i="233"/>
  <c r="C436" i="233"/>
  <c r="B436" i="233"/>
  <c r="L432" i="233"/>
  <c r="S433" i="233" s="1"/>
  <c r="J432" i="233"/>
  <c r="C411" i="233"/>
  <c r="B411" i="233"/>
  <c r="C410" i="233"/>
  <c r="B410" i="233"/>
  <c r="C409" i="233"/>
  <c r="R395" i="233"/>
  <c r="L395" i="233"/>
  <c r="S396" i="233" s="1"/>
  <c r="J395" i="233"/>
  <c r="C390" i="233"/>
  <c r="B390" i="233"/>
  <c r="C389" i="233"/>
  <c r="B389" i="233"/>
  <c r="R385" i="233"/>
  <c r="L385" i="233"/>
  <c r="S385" i="233" s="1"/>
  <c r="J385" i="233"/>
  <c r="B380" i="233"/>
  <c r="B379" i="233"/>
  <c r="C351" i="233"/>
  <c r="B351" i="233"/>
  <c r="C350" i="233"/>
  <c r="B350" i="233"/>
  <c r="C349" i="233"/>
  <c r="L345" i="233"/>
  <c r="S347" i="233" s="1"/>
  <c r="J345" i="233"/>
  <c r="C330" i="233"/>
  <c r="B330" i="233"/>
  <c r="C329" i="233"/>
  <c r="B329" i="233"/>
  <c r="C328" i="233"/>
  <c r="L324" i="233"/>
  <c r="S325" i="233" s="1"/>
  <c r="J324" i="233"/>
  <c r="R324" i="233"/>
  <c r="C319" i="233"/>
  <c r="B319" i="233"/>
  <c r="C318" i="233"/>
  <c r="B318" i="233"/>
  <c r="R314" i="233"/>
  <c r="L314" i="233"/>
  <c r="S315" i="233" s="1"/>
  <c r="J314" i="233"/>
  <c r="C309" i="233"/>
  <c r="B309" i="233"/>
  <c r="C308" i="233"/>
  <c r="B308" i="233"/>
  <c r="R304" i="233"/>
  <c r="L304" i="233"/>
  <c r="S304" i="233" s="1"/>
  <c r="J304" i="233"/>
  <c r="C299" i="233"/>
  <c r="B299" i="233"/>
  <c r="C298" i="233"/>
  <c r="B298" i="233"/>
  <c r="R294" i="233"/>
  <c r="L294" i="233"/>
  <c r="S295" i="233" s="1"/>
  <c r="C288" i="233"/>
  <c r="B288" i="233"/>
  <c r="B287" i="233"/>
  <c r="L283" i="233"/>
  <c r="S283" i="233" s="1"/>
  <c r="J283" i="233"/>
  <c r="C272" i="233"/>
  <c r="B272" i="233"/>
  <c r="C271" i="233"/>
  <c r="B271" i="233"/>
  <c r="C270" i="233"/>
  <c r="L266" i="233"/>
  <c r="S266" i="233" s="1"/>
  <c r="J266" i="233"/>
  <c r="C261" i="233"/>
  <c r="B261" i="233"/>
  <c r="C260" i="233"/>
  <c r="B260" i="233"/>
  <c r="L256" i="233"/>
  <c r="S258" i="233" s="1"/>
  <c r="J256" i="233"/>
  <c r="C251" i="233"/>
  <c r="B251" i="233"/>
  <c r="C250" i="233"/>
  <c r="B250" i="233"/>
  <c r="L246" i="233"/>
  <c r="S248" i="233" s="1"/>
  <c r="J246" i="233"/>
  <c r="C241" i="233"/>
  <c r="B241" i="233"/>
  <c r="C240" i="233"/>
  <c r="B240" i="233"/>
  <c r="L236" i="233"/>
  <c r="S236" i="233" s="1"/>
  <c r="J236" i="233"/>
  <c r="C231" i="233"/>
  <c r="B231" i="233"/>
  <c r="C230" i="233"/>
  <c r="B230" i="233"/>
  <c r="R226" i="233"/>
  <c r="L226" i="233"/>
  <c r="S226" i="233" s="1"/>
  <c r="J226" i="233"/>
  <c r="C221" i="233"/>
  <c r="B221" i="233"/>
  <c r="C220" i="233"/>
  <c r="B220" i="233"/>
  <c r="R216" i="233"/>
  <c r="L216" i="233"/>
  <c r="S217" i="233" s="1"/>
  <c r="J216" i="233"/>
  <c r="C211" i="233"/>
  <c r="B211" i="233"/>
  <c r="C210" i="233"/>
  <c r="B210" i="233"/>
  <c r="R206" i="233"/>
  <c r="L206" i="233"/>
  <c r="S208" i="233" s="1"/>
  <c r="J206" i="233"/>
  <c r="C201" i="233"/>
  <c r="B201" i="233"/>
  <c r="C200" i="233"/>
  <c r="B200" i="233"/>
  <c r="R196" i="233"/>
  <c r="L196" i="233"/>
  <c r="S198" i="233" s="1"/>
  <c r="J196" i="233"/>
  <c r="C191" i="233"/>
  <c r="B191" i="233"/>
  <c r="C190" i="233"/>
  <c r="B190" i="233"/>
  <c r="L186" i="233"/>
  <c r="S187" i="233" s="1"/>
  <c r="J186" i="233"/>
  <c r="C181" i="233"/>
  <c r="B181" i="233"/>
  <c r="C180" i="233"/>
  <c r="B180" i="233"/>
  <c r="L176" i="233"/>
  <c r="S177" i="233" s="1"/>
  <c r="J176" i="233"/>
  <c r="C171" i="233"/>
  <c r="B171" i="233"/>
  <c r="C170" i="233"/>
  <c r="B170" i="233"/>
  <c r="R166" i="233"/>
  <c r="L166" i="233"/>
  <c r="S166" i="233" s="1"/>
  <c r="J166" i="233"/>
  <c r="C161" i="233"/>
  <c r="B161" i="233"/>
  <c r="C160" i="233"/>
  <c r="B160" i="233"/>
  <c r="L156" i="233"/>
  <c r="S158" i="233" s="1"/>
  <c r="J156" i="233"/>
  <c r="C151" i="233"/>
  <c r="B151" i="233"/>
  <c r="C150" i="233"/>
  <c r="B150" i="233"/>
  <c r="C149" i="233"/>
  <c r="C148" i="233"/>
  <c r="L144" i="233"/>
  <c r="S146" i="233" s="1"/>
  <c r="J144" i="233"/>
  <c r="C136" i="233"/>
  <c r="B136" i="233"/>
  <c r="C135" i="233"/>
  <c r="B135" i="233"/>
  <c r="L131" i="233"/>
  <c r="S133" i="233" s="1"/>
  <c r="J131" i="233"/>
  <c r="R131" i="233"/>
  <c r="C123" i="233"/>
  <c r="B123" i="233"/>
  <c r="C122" i="233"/>
  <c r="B122" i="233"/>
  <c r="L118" i="233"/>
  <c r="S120" i="233" s="1"/>
  <c r="J118" i="233"/>
  <c r="R118" i="233"/>
  <c r="C110" i="233"/>
  <c r="B110" i="233"/>
  <c r="C109" i="233"/>
  <c r="B109" i="233"/>
  <c r="S106" i="233"/>
  <c r="J105" i="233"/>
  <c r="R105" i="233"/>
  <c r="C97" i="233"/>
  <c r="B97" i="233"/>
  <c r="B96" i="233"/>
  <c r="L92" i="233"/>
  <c r="S93" i="233" s="1"/>
  <c r="J92" i="233"/>
  <c r="C87" i="233"/>
  <c r="B87" i="233"/>
  <c r="C86" i="233"/>
  <c r="B86" i="233"/>
  <c r="C85" i="233"/>
  <c r="R81" i="233"/>
  <c r="L81" i="233"/>
  <c r="S83" i="233" s="1"/>
  <c r="J81" i="233"/>
  <c r="C76" i="233"/>
  <c r="B76" i="233"/>
  <c r="C75" i="233"/>
  <c r="B75" i="233"/>
  <c r="L71" i="233"/>
  <c r="S72" i="233" s="1"/>
  <c r="J71" i="233"/>
  <c r="C66" i="233"/>
  <c r="B66" i="233"/>
  <c r="C65" i="233"/>
  <c r="B65" i="233"/>
  <c r="L61" i="233"/>
  <c r="S61" i="233" s="1"/>
  <c r="J61" i="233"/>
  <c r="C56" i="233"/>
  <c r="B56" i="233"/>
  <c r="C55" i="233"/>
  <c r="B55" i="233"/>
  <c r="R51" i="233"/>
  <c r="L51" i="233"/>
  <c r="S53" i="233" s="1"/>
  <c r="J51" i="233"/>
  <c r="C46" i="233"/>
  <c r="B46" i="233"/>
  <c r="C45" i="233"/>
  <c r="B45" i="233"/>
  <c r="R41" i="233"/>
  <c r="L41" i="233"/>
  <c r="S41" i="233" s="1"/>
  <c r="J41" i="233"/>
  <c r="C36" i="233"/>
  <c r="B36" i="233"/>
  <c r="C35" i="233"/>
  <c r="B35" i="233"/>
  <c r="R31" i="233"/>
  <c r="L31" i="233"/>
  <c r="S32" i="233" s="1"/>
  <c r="J31" i="233"/>
  <c r="C26" i="233"/>
  <c r="B26" i="233"/>
  <c r="C25" i="233"/>
  <c r="B25" i="233"/>
  <c r="R21" i="233"/>
  <c r="L21" i="233"/>
  <c r="S22" i="233" s="1"/>
  <c r="C16" i="233"/>
  <c r="B16" i="233"/>
  <c r="C15" i="233"/>
  <c r="B15" i="233"/>
  <c r="C13" i="233"/>
  <c r="C9" i="233"/>
  <c r="C8" i="233"/>
  <c r="I53" i="232"/>
  <c r="G52" i="232"/>
  <c r="G51" i="232" s="1"/>
  <c r="C33" i="220" s="1"/>
  <c r="G29" i="232"/>
  <c r="G28" i="232"/>
  <c r="G27" i="232"/>
  <c r="G26" i="232"/>
  <c r="G25" i="232"/>
  <c r="G23" i="232"/>
  <c r="G22" i="232"/>
  <c r="G21" i="232"/>
  <c r="G20" i="232"/>
  <c r="G19" i="232"/>
  <c r="G18" i="232"/>
  <c r="G17" i="232"/>
  <c r="F10" i="232"/>
  <c r="F9" i="232"/>
  <c r="F8" i="232"/>
  <c r="F7" i="232"/>
  <c r="N570" i="215"/>
  <c r="N555" i="215"/>
  <c r="N351" i="215"/>
  <c r="N352" i="215" s="1"/>
  <c r="E70" i="215"/>
  <c r="C70" i="215"/>
  <c r="B70" i="215"/>
  <c r="E69" i="215"/>
  <c r="C69" i="215"/>
  <c r="B69" i="215"/>
  <c r="E68" i="215"/>
  <c r="C68" i="215"/>
  <c r="B68" i="215"/>
  <c r="E67" i="215"/>
  <c r="C67" i="215"/>
  <c r="B67" i="215"/>
  <c r="E66" i="215"/>
  <c r="C66" i="215"/>
  <c r="B66" i="215"/>
  <c r="E64" i="215"/>
  <c r="C64" i="215"/>
  <c r="B64" i="215"/>
  <c r="E63" i="215"/>
  <c r="C63" i="215"/>
  <c r="B63" i="215"/>
  <c r="E62" i="215"/>
  <c r="C62" i="215"/>
  <c r="B62" i="215"/>
  <c r="E61" i="215"/>
  <c r="C61" i="215"/>
  <c r="B61" i="215"/>
  <c r="E60" i="215"/>
  <c r="C60" i="215"/>
  <c r="B60" i="215"/>
  <c r="E59" i="215"/>
  <c r="C59" i="215"/>
  <c r="B59" i="215"/>
  <c r="E58" i="215"/>
  <c r="C58" i="215"/>
  <c r="B58" i="215"/>
  <c r="C57" i="215"/>
  <c r="B57" i="215"/>
  <c r="E56" i="215"/>
  <c r="C56" i="215"/>
  <c r="B56" i="215"/>
  <c r="E54" i="215"/>
  <c r="C54" i="215"/>
  <c r="B54" i="215"/>
  <c r="E53" i="215"/>
  <c r="C53" i="215"/>
  <c r="B53" i="215"/>
  <c r="C52" i="215"/>
  <c r="B52" i="215"/>
  <c r="E51" i="215"/>
  <c r="C51" i="215"/>
  <c r="B51" i="215"/>
  <c r="C50" i="215"/>
  <c r="B50" i="215"/>
  <c r="E49" i="215"/>
  <c r="C49" i="215"/>
  <c r="B49" i="215"/>
  <c r="E48" i="215"/>
  <c r="C48" i="215"/>
  <c r="B48" i="215"/>
  <c r="E47" i="215"/>
  <c r="C47" i="215"/>
  <c r="B47" i="215"/>
  <c r="E46" i="215"/>
  <c r="C46" i="215"/>
  <c r="B46" i="215"/>
  <c r="E45" i="215"/>
  <c r="C45" i="215"/>
  <c r="B45" i="215"/>
  <c r="C44" i="215"/>
  <c r="B44" i="215"/>
  <c r="E43" i="215"/>
  <c r="C43" i="215"/>
  <c r="B43" i="215"/>
  <c r="E42" i="215"/>
  <c r="C42" i="215"/>
  <c r="B42" i="215"/>
  <c r="E41" i="215"/>
  <c r="C41" i="215"/>
  <c r="B41" i="215"/>
  <c r="E40" i="215"/>
  <c r="C40" i="215"/>
  <c r="B40" i="215"/>
  <c r="E39" i="215"/>
  <c r="C39" i="215"/>
  <c r="B39" i="215"/>
  <c r="E38" i="215"/>
  <c r="C38" i="215"/>
  <c r="B38" i="215"/>
  <c r="E37" i="215"/>
  <c r="C37" i="215"/>
  <c r="B37" i="215"/>
  <c r="E36" i="215"/>
  <c r="C36" i="215"/>
  <c r="B36" i="215"/>
  <c r="E35" i="215"/>
  <c r="C35" i="215"/>
  <c r="B35" i="215"/>
  <c r="E34" i="215"/>
  <c r="C34" i="215"/>
  <c r="B34" i="215"/>
  <c r="E33" i="215"/>
  <c r="C33" i="215"/>
  <c r="B33" i="215"/>
  <c r="E32" i="215"/>
  <c r="C32" i="215"/>
  <c r="B32" i="215"/>
  <c r="C31" i="215"/>
  <c r="B31" i="215"/>
  <c r="C30" i="215"/>
  <c r="B30" i="215"/>
  <c r="E29" i="215"/>
  <c r="C29" i="215"/>
  <c r="B29" i="215"/>
  <c r="E28" i="215"/>
  <c r="C28" i="215"/>
  <c r="B28" i="215"/>
  <c r="E27" i="215"/>
  <c r="C27" i="215"/>
  <c r="B27" i="215"/>
  <c r="E26" i="215"/>
  <c r="C26" i="215"/>
  <c r="B26" i="215"/>
  <c r="E25" i="215"/>
  <c r="C25" i="215"/>
  <c r="B25" i="215"/>
  <c r="C24" i="215"/>
  <c r="B24" i="215"/>
  <c r="E23" i="215"/>
  <c r="C23" i="215"/>
  <c r="B23" i="215"/>
  <c r="E22" i="215"/>
  <c r="C22" i="215"/>
  <c r="B22" i="215"/>
  <c r="E21" i="215"/>
  <c r="C21" i="215"/>
  <c r="B21" i="215"/>
  <c r="E20" i="215"/>
  <c r="C20" i="215"/>
  <c r="B20" i="215"/>
  <c r="E19" i="215"/>
  <c r="C19" i="215"/>
  <c r="B19" i="215"/>
  <c r="E18" i="215"/>
  <c r="C18" i="215"/>
  <c r="B18" i="215"/>
  <c r="E17" i="215"/>
  <c r="C17" i="215"/>
  <c r="C16" i="215"/>
  <c r="B16" i="215"/>
  <c r="I45" i="219"/>
  <c r="H45" i="219"/>
  <c r="H49" i="219" s="1"/>
  <c r="H43" i="219"/>
  <c r="H47" i="219" s="1"/>
  <c r="J41" i="219"/>
  <c r="F4" i="219"/>
  <c r="E127" i="239"/>
  <c r="F127" i="239" s="1"/>
  <c r="G127" i="239" s="1"/>
  <c r="H127" i="239" s="1"/>
  <c r="I127" i="239" s="1"/>
  <c r="J127" i="239" s="1"/>
  <c r="K127" i="239" s="1"/>
  <c r="L127" i="239" s="1"/>
  <c r="M127" i="239" s="1"/>
  <c r="N127" i="239" s="1"/>
  <c r="O127" i="239" s="1"/>
  <c r="P127" i="239" s="1"/>
  <c r="Q127" i="239" s="1"/>
  <c r="C65" i="220"/>
  <c r="B470" i="218"/>
  <c r="Z404" i="218"/>
  <c r="B404" i="218"/>
  <c r="B403" i="218"/>
  <c r="Z338" i="218"/>
  <c r="B338" i="218"/>
  <c r="B337" i="218"/>
  <c r="Z272" i="218"/>
  <c r="B272" i="218"/>
  <c r="B271" i="218"/>
  <c r="O255" i="218"/>
  <c r="E239" i="218"/>
  <c r="AC231" i="218"/>
  <c r="AA231" i="218"/>
  <c r="Y231" i="218"/>
  <c r="W231" i="218"/>
  <c r="U231" i="218"/>
  <c r="S231" i="218"/>
  <c r="Q231" i="218"/>
  <c r="O231" i="218"/>
  <c r="M231" i="218"/>
  <c r="K231" i="218"/>
  <c r="I231" i="218"/>
  <c r="G231" i="218"/>
  <c r="E231" i="218"/>
  <c r="G226" i="218"/>
  <c r="I226" i="218" s="1"/>
  <c r="K226" i="218" s="1"/>
  <c r="M226" i="218" s="1"/>
  <c r="O226" i="218" s="1"/>
  <c r="Q226" i="218" s="1"/>
  <c r="S226" i="218" s="1"/>
  <c r="U226" i="218" s="1"/>
  <c r="W226" i="218" s="1"/>
  <c r="Y226" i="218" s="1"/>
  <c r="AA226" i="218" s="1"/>
  <c r="AC226" i="218" s="1"/>
  <c r="E234" i="218" s="1"/>
  <c r="B206" i="218"/>
  <c r="E156" i="218"/>
  <c r="E155" i="218"/>
  <c r="E154" i="218"/>
  <c r="E153" i="218"/>
  <c r="B154" i="218"/>
  <c r="B155" i="218" s="1"/>
  <c r="B156" i="218" s="1"/>
  <c r="B157" i="218" s="1"/>
  <c r="B158" i="218" s="1"/>
  <c r="B159" i="218" s="1"/>
  <c r="G149" i="218"/>
  <c r="G214" i="218" s="1"/>
  <c r="Z148" i="218"/>
  <c r="Z142" i="218"/>
  <c r="B141" i="218"/>
  <c r="B108" i="218"/>
  <c r="B109" i="218" s="1"/>
  <c r="B110" i="218" s="1"/>
  <c r="B111" i="218" s="1"/>
  <c r="B112" i="218" s="1"/>
  <c r="B113" i="218" s="1"/>
  <c r="B89" i="218"/>
  <c r="B90" i="218" s="1"/>
  <c r="B91" i="218" s="1"/>
  <c r="G82" i="218"/>
  <c r="G147" i="218" s="1"/>
  <c r="G212" i="218" s="1"/>
  <c r="Z77" i="218"/>
  <c r="B77" i="218"/>
  <c r="R246" i="233"/>
  <c r="R144" i="233"/>
  <c r="S52" i="137"/>
  <c r="I24" i="232"/>
  <c r="I51" i="232"/>
  <c r="S50" i="135"/>
  <c r="R236" i="233"/>
  <c r="R176" i="233"/>
  <c r="R156" i="233"/>
  <c r="S52" i="193"/>
  <c r="S50" i="193"/>
  <c r="E25" i="220"/>
  <c r="E40" i="220"/>
  <c r="E10" i="220"/>
  <c r="E73" i="220"/>
  <c r="E20" i="220"/>
  <c r="S50" i="136" l="1"/>
  <c r="R599" i="233"/>
  <c r="R377" i="233"/>
  <c r="R263" i="233"/>
  <c r="R266" i="233" s="1"/>
  <c r="J267" i="233" s="1"/>
  <c r="I72" i="232"/>
  <c r="P160" i="218"/>
  <c r="X159" i="218"/>
  <c r="P159" i="218"/>
  <c r="R52" i="158"/>
  <c r="S51" i="137"/>
  <c r="G16" i="232"/>
  <c r="S51" i="135"/>
  <c r="F41" i="219"/>
  <c r="L10" i="219"/>
  <c r="L11" i="219" s="1"/>
  <c r="L12" i="219" s="1"/>
  <c r="L13" i="219" s="1"/>
  <c r="S51" i="133"/>
  <c r="S51" i="136"/>
  <c r="S52" i="133"/>
  <c r="I10" i="216"/>
  <c r="M10" i="216" s="1"/>
  <c r="R53" i="128"/>
  <c r="J51" i="158"/>
  <c r="O16" i="126"/>
  <c r="W18" i="126" s="1"/>
  <c r="R52" i="157"/>
  <c r="R51" i="162"/>
  <c r="R50" i="162"/>
  <c r="J51" i="162" s="1"/>
  <c r="S51" i="129"/>
  <c r="J51" i="157"/>
  <c r="R54" i="179"/>
  <c r="R466" i="233"/>
  <c r="S52" i="134"/>
  <c r="S50" i="130"/>
  <c r="I12" i="216"/>
  <c r="M12" i="216" s="1"/>
  <c r="S52" i="130"/>
  <c r="R52" i="130"/>
  <c r="J261" i="218"/>
  <c r="J51" i="151"/>
  <c r="J284" i="233"/>
  <c r="G33" i="220"/>
  <c r="G31" i="220" s="1"/>
  <c r="E33" i="220"/>
  <c r="R50" i="165"/>
  <c r="J51" i="165" s="1"/>
  <c r="R51" i="133"/>
  <c r="S51" i="134"/>
  <c r="S52" i="129"/>
  <c r="I11" i="216"/>
  <c r="M11" i="216" s="1"/>
  <c r="J52" i="129"/>
  <c r="R53" i="129"/>
  <c r="R51" i="135"/>
  <c r="R53" i="161"/>
  <c r="R50" i="156"/>
  <c r="J51" i="156" s="1"/>
  <c r="J51" i="130"/>
  <c r="G45" i="232"/>
  <c r="C28" i="220" s="1"/>
  <c r="G53" i="232"/>
  <c r="C38" i="220" s="1"/>
  <c r="I38" i="220" s="1"/>
  <c r="G58" i="232"/>
  <c r="C43" i="220" s="1"/>
  <c r="R51" i="137"/>
  <c r="H44" i="219"/>
  <c r="H48" i="219"/>
  <c r="J51" i="155"/>
  <c r="R52" i="155"/>
  <c r="S53" i="128"/>
  <c r="S51" i="128"/>
  <c r="R50" i="136"/>
  <c r="R51" i="136"/>
  <c r="H33" i="220"/>
  <c r="H31" i="220" s="1"/>
  <c r="J33" i="220"/>
  <c r="J31" i="220" s="1"/>
  <c r="I33" i="220"/>
  <c r="I31" i="220" s="1"/>
  <c r="J52" i="128"/>
  <c r="I16" i="232"/>
  <c r="S49" i="126"/>
  <c r="S50" i="126"/>
  <c r="S51" i="126"/>
  <c r="R50" i="133"/>
  <c r="R50" i="135"/>
  <c r="R52" i="161"/>
  <c r="S50" i="165"/>
  <c r="S51" i="165"/>
  <c r="S52" i="165"/>
  <c r="R52" i="193"/>
  <c r="J51" i="193"/>
  <c r="R51" i="163"/>
  <c r="R50" i="163"/>
  <c r="R51" i="154"/>
  <c r="R50" i="154"/>
  <c r="J51" i="154" s="1"/>
  <c r="R50" i="164"/>
  <c r="R50" i="137"/>
  <c r="O15" i="126"/>
  <c r="F33" i="220"/>
  <c r="F31" i="220" s="1"/>
  <c r="G24" i="232"/>
  <c r="I13" i="216"/>
  <c r="M13" i="216" s="1"/>
  <c r="R50" i="134"/>
  <c r="R51" i="160"/>
  <c r="R50" i="160"/>
  <c r="R50" i="153"/>
  <c r="J51" i="153" s="1"/>
  <c r="G32" i="232"/>
  <c r="J612" i="233"/>
  <c r="X155" i="218"/>
  <c r="P155" i="218"/>
  <c r="P153" i="218"/>
  <c r="X153" i="218"/>
  <c r="P157" i="218"/>
  <c r="X157" i="218"/>
  <c r="P154" i="218"/>
  <c r="P158" i="218"/>
  <c r="X158" i="218"/>
  <c r="P156" i="218"/>
  <c r="X156" i="218"/>
  <c r="J119" i="233"/>
  <c r="J217" i="233"/>
  <c r="J479" i="233"/>
  <c r="J346" i="233"/>
  <c r="J32" i="233"/>
  <c r="J177" i="233"/>
  <c r="J207" i="233"/>
  <c r="J556" i="233"/>
  <c r="J72" i="233"/>
  <c r="J106" i="233"/>
  <c r="J545" i="233"/>
  <c r="J93" i="233"/>
  <c r="J598" i="233"/>
  <c r="J568" i="233"/>
  <c r="J433" i="233"/>
  <c r="J588" i="233"/>
  <c r="J52" i="233"/>
  <c r="J82" i="233"/>
  <c r="J132" i="233"/>
  <c r="J197" i="233"/>
  <c r="J237" i="233"/>
  <c r="J315" i="233"/>
  <c r="J325" i="233"/>
  <c r="J396" i="233"/>
  <c r="R107" i="233"/>
  <c r="R589" i="233"/>
  <c r="R546" i="233"/>
  <c r="R397" i="233"/>
  <c r="R326" i="233"/>
  <c r="R285" i="233"/>
  <c r="R238" i="233"/>
  <c r="R198" i="233"/>
  <c r="R53" i="233"/>
  <c r="J42" i="233"/>
  <c r="J187" i="233"/>
  <c r="J227" i="233"/>
  <c r="J305" i="233"/>
  <c r="J386" i="233"/>
  <c r="J22" i="233"/>
  <c r="J578" i="233"/>
  <c r="R146" i="233"/>
  <c r="R94" i="233"/>
  <c r="R579" i="233"/>
  <c r="R536" i="233"/>
  <c r="R458" i="233"/>
  <c r="R387" i="233"/>
  <c r="R316" i="233"/>
  <c r="R228" i="233"/>
  <c r="R188" i="233"/>
  <c r="R83" i="233"/>
  <c r="R43" i="233"/>
  <c r="J62" i="233"/>
  <c r="J145" i="233"/>
  <c r="J247" i="233"/>
  <c r="J507" i="233"/>
  <c r="J535" i="233"/>
  <c r="J295" i="233"/>
  <c r="J406" i="233"/>
  <c r="R133" i="233"/>
  <c r="R613" i="233"/>
  <c r="R569" i="233"/>
  <c r="V508" i="233"/>
  <c r="R306" i="233"/>
  <c r="R218" i="233"/>
  <c r="R178" i="233"/>
  <c r="R73" i="233"/>
  <c r="R33" i="233"/>
  <c r="R120" i="233"/>
  <c r="R557" i="233"/>
  <c r="R480" i="233"/>
  <c r="R407" i="233"/>
  <c r="R347" i="233"/>
  <c r="R296" i="233"/>
  <c r="R248" i="233"/>
  <c r="R208" i="233"/>
  <c r="R63" i="233"/>
  <c r="R23" i="233"/>
  <c r="S478" i="233"/>
  <c r="S557" i="233"/>
  <c r="S305" i="233"/>
  <c r="J167" i="233"/>
  <c r="R168" i="233"/>
  <c r="J157" i="233"/>
  <c r="R158" i="233"/>
  <c r="S569" i="233"/>
  <c r="S587" i="233"/>
  <c r="S216" i="233"/>
  <c r="S43" i="233"/>
  <c r="S21" i="233"/>
  <c r="S434" i="233"/>
  <c r="S31" i="233"/>
  <c r="S397" i="233"/>
  <c r="S578" i="233"/>
  <c r="S207" i="233"/>
  <c r="S197" i="233"/>
  <c r="S296" i="233"/>
  <c r="S42" i="233"/>
  <c r="S544" i="233"/>
  <c r="S567" i="233"/>
  <c r="S247" i="233"/>
  <c r="S218" i="233"/>
  <c r="S284" i="233"/>
  <c r="S246" i="233"/>
  <c r="S324" i="233"/>
  <c r="S395" i="233"/>
  <c r="S432" i="233"/>
  <c r="S326" i="233"/>
  <c r="S556" i="233"/>
  <c r="S82" i="233"/>
  <c r="S94" i="233"/>
  <c r="S480" i="233"/>
  <c r="S346" i="233"/>
  <c r="S536" i="233"/>
  <c r="S63" i="233"/>
  <c r="S534" i="233"/>
  <c r="S144" i="233"/>
  <c r="S206" i="233"/>
  <c r="S186" i="233"/>
  <c r="S62" i="233"/>
  <c r="S458" i="233"/>
  <c r="S456" i="233"/>
  <c r="S506" i="233"/>
  <c r="S156" i="233"/>
  <c r="S145" i="233"/>
  <c r="S92" i="233"/>
  <c r="S51" i="233"/>
  <c r="S81" i="233"/>
  <c r="S588" i="233"/>
  <c r="S577" i="233"/>
  <c r="S507" i="233"/>
  <c r="S188" i="233"/>
  <c r="S196" i="233"/>
  <c r="S157" i="233"/>
  <c r="S294" i="233"/>
  <c r="S52" i="233"/>
  <c r="S132" i="233"/>
  <c r="S178" i="233"/>
  <c r="S131" i="233"/>
  <c r="S168" i="233"/>
  <c r="S406" i="233"/>
  <c r="S118" i="233"/>
  <c r="S228" i="233"/>
  <c r="S267" i="233"/>
  <c r="S306" i="233"/>
  <c r="F56" i="220"/>
  <c r="S545" i="233"/>
  <c r="S227" i="233"/>
  <c r="S285" i="233"/>
  <c r="S256" i="233"/>
  <c r="S598" i="233"/>
  <c r="S176" i="233"/>
  <c r="S257" i="233"/>
  <c r="S268" i="233"/>
  <c r="E56" i="220"/>
  <c r="S107" i="233"/>
  <c r="S237" i="233"/>
  <c r="S387" i="233"/>
  <c r="S613" i="233"/>
  <c r="S466" i="233"/>
  <c r="S314" i="233"/>
  <c r="S467" i="233"/>
  <c r="S33" i="233"/>
  <c r="S119" i="233"/>
  <c r="S73" i="233"/>
  <c r="S105" i="233"/>
  <c r="S238" i="233"/>
  <c r="S597" i="233"/>
  <c r="S316" i="233"/>
  <c r="S23" i="233"/>
  <c r="S345" i="233"/>
  <c r="S71" i="233"/>
  <c r="S386" i="233"/>
  <c r="S167" i="233"/>
  <c r="S612" i="233"/>
  <c r="E15" i="220"/>
  <c r="E30" i="220"/>
  <c r="E35" i="220"/>
  <c r="S407" i="233"/>
  <c r="L14" i="219" l="1"/>
  <c r="L16" i="219" s="1"/>
  <c r="L17" i="219" s="1"/>
  <c r="L19" i="219" s="1"/>
  <c r="V507" i="233"/>
  <c r="G51" i="220"/>
  <c r="J51" i="220"/>
  <c r="F51" i="220"/>
  <c r="I51" i="220"/>
  <c r="H51" i="220"/>
  <c r="G46" i="220"/>
  <c r="J46" i="220"/>
  <c r="F46" i="220"/>
  <c r="I46" i="220"/>
  <c r="H46" i="220"/>
  <c r="R268" i="233"/>
  <c r="J44" i="232" s="1"/>
  <c r="D43" i="215" s="1"/>
  <c r="G43" i="215" s="1"/>
  <c r="H43" i="215" s="1"/>
  <c r="J70" i="232"/>
  <c r="L70" i="232" s="1"/>
  <c r="M70" i="232" s="1"/>
  <c r="K70" i="232" s="1"/>
  <c r="J35" i="232"/>
  <c r="D34" i="215" s="1"/>
  <c r="G34" i="215" s="1"/>
  <c r="H34" i="215" s="1"/>
  <c r="J23" i="232"/>
  <c r="L23" i="232" s="1"/>
  <c r="M23" i="232" s="1"/>
  <c r="K23" i="232" s="1"/>
  <c r="J55" i="232"/>
  <c r="D54" i="215" s="1"/>
  <c r="G54" i="215" s="1"/>
  <c r="H54" i="215" s="1"/>
  <c r="J36" i="232"/>
  <c r="L36" i="232" s="1"/>
  <c r="M36" i="232" s="1"/>
  <c r="K36" i="232" s="1"/>
  <c r="J60" i="232"/>
  <c r="L60" i="232" s="1"/>
  <c r="M60" i="232" s="1"/>
  <c r="K60" i="232" s="1"/>
  <c r="J29" i="232"/>
  <c r="L29" i="232" s="1"/>
  <c r="M29" i="232" s="1"/>
  <c r="K29" i="232" s="1"/>
  <c r="J20" i="232"/>
  <c r="D20" i="215" s="1"/>
  <c r="G20" i="215" s="1"/>
  <c r="H20" i="215" s="1"/>
  <c r="J50" i="232"/>
  <c r="D49" i="215" s="1"/>
  <c r="G49" i="215" s="1"/>
  <c r="H49" i="215" s="1"/>
  <c r="J26" i="232"/>
  <c r="D26" i="215" s="1"/>
  <c r="G26" i="215" s="1"/>
  <c r="H26" i="215" s="1"/>
  <c r="J42" i="232"/>
  <c r="L42" i="232" s="1"/>
  <c r="M42" i="232" s="1"/>
  <c r="K42" i="232" s="1"/>
  <c r="J62" i="232"/>
  <c r="L62" i="232" s="1"/>
  <c r="M62" i="232" s="1"/>
  <c r="K62" i="232" s="1"/>
  <c r="J18" i="232"/>
  <c r="D18" i="215" s="1"/>
  <c r="G18" i="215" s="1"/>
  <c r="H18" i="215" s="1"/>
  <c r="J48" i="232"/>
  <c r="L48" i="232" s="1"/>
  <c r="M48" i="232" s="1"/>
  <c r="K48" i="232" s="1"/>
  <c r="J71" i="232"/>
  <c r="L71" i="232" s="1"/>
  <c r="M71" i="232" s="1"/>
  <c r="K71" i="232" s="1"/>
  <c r="J40" i="232"/>
  <c r="L40" i="232" s="1"/>
  <c r="M40" i="232" s="1"/>
  <c r="K40" i="232" s="1"/>
  <c r="J64" i="232"/>
  <c r="L64" i="232" s="1"/>
  <c r="M64" i="232" s="1"/>
  <c r="K64" i="232" s="1"/>
  <c r="J37" i="232"/>
  <c r="L37" i="232" s="1"/>
  <c r="M37" i="232" s="1"/>
  <c r="K37" i="232" s="1"/>
  <c r="J56" i="232"/>
  <c r="D55" i="215" s="1"/>
  <c r="G55" i="215" s="1"/>
  <c r="H55" i="215" s="1"/>
  <c r="J34" i="232"/>
  <c r="L34" i="232" s="1"/>
  <c r="M34" i="232" s="1"/>
  <c r="K34" i="232" s="1"/>
  <c r="J21" i="232"/>
  <c r="L21" i="232" s="1"/>
  <c r="M21" i="232" s="1"/>
  <c r="K21" i="232" s="1"/>
  <c r="J69" i="232"/>
  <c r="D68" i="215" s="1"/>
  <c r="G68" i="215" s="1"/>
  <c r="H68" i="215" s="1"/>
  <c r="J38" i="232"/>
  <c r="L38" i="232" s="1"/>
  <c r="M38" i="232" s="1"/>
  <c r="K38" i="232" s="1"/>
  <c r="J57" i="232"/>
  <c r="L57" i="232" s="1"/>
  <c r="M57" i="232" s="1"/>
  <c r="K57" i="232" s="1"/>
  <c r="J27" i="232"/>
  <c r="L27" i="232" s="1"/>
  <c r="M27" i="232" s="1"/>
  <c r="K27" i="232" s="1"/>
  <c r="J39" i="232"/>
  <c r="D38" i="215" s="1"/>
  <c r="G38" i="215" s="1"/>
  <c r="H38" i="215" s="1"/>
  <c r="J67" i="232"/>
  <c r="L67" i="232" s="1"/>
  <c r="M67" i="232" s="1"/>
  <c r="K67" i="232" s="1"/>
  <c r="J47" i="232"/>
  <c r="L47" i="232" s="1"/>
  <c r="M47" i="232" s="1"/>
  <c r="K47" i="232" s="1"/>
  <c r="J66" i="232"/>
  <c r="J22" i="232"/>
  <c r="L22" i="232" s="1"/>
  <c r="M22" i="232" s="1"/>
  <c r="K22" i="232" s="1"/>
  <c r="J28" i="232"/>
  <c r="D28" i="215" s="1"/>
  <c r="G28" i="215" s="1"/>
  <c r="H28" i="215" s="1"/>
  <c r="J19" i="232"/>
  <c r="D19" i="215" s="1"/>
  <c r="G19" i="215" s="1"/>
  <c r="H19" i="215" s="1"/>
  <c r="J49" i="232"/>
  <c r="L49" i="232" s="1"/>
  <c r="M49" i="232" s="1"/>
  <c r="K49" i="232" s="1"/>
  <c r="J68" i="232"/>
  <c r="L68" i="232" s="1"/>
  <c r="M68" i="232" s="1"/>
  <c r="K68" i="232" s="1"/>
  <c r="J41" i="232"/>
  <c r="L41" i="232" s="1"/>
  <c r="M41" i="232" s="1"/>
  <c r="K41" i="232" s="1"/>
  <c r="J65" i="232"/>
  <c r="L65" i="232" s="1"/>
  <c r="M65" i="232" s="1"/>
  <c r="K65" i="232" s="1"/>
  <c r="R16" i="126"/>
  <c r="V613" i="233"/>
  <c r="V612" i="233" s="1"/>
  <c r="V611" i="233" s="1"/>
  <c r="V610" i="233" s="1"/>
  <c r="V557" i="233"/>
  <c r="V556" i="233" s="1"/>
  <c r="V555" i="233" s="1"/>
  <c r="V554" i="233" s="1"/>
  <c r="V579" i="233"/>
  <c r="V578" i="233" s="1"/>
  <c r="V577" i="233" s="1"/>
  <c r="V576" i="233" s="1"/>
  <c r="V575" i="233" s="1"/>
  <c r="V574" i="233" s="1"/>
  <c r="V573" i="233" s="1"/>
  <c r="V572" i="233" s="1"/>
  <c r="V571" i="233" s="1"/>
  <c r="V580" i="233" s="1"/>
  <c r="V546" i="233"/>
  <c r="V545" i="233" s="1"/>
  <c r="V544" i="233" s="1"/>
  <c r="V543" i="233" s="1"/>
  <c r="V542" i="233" s="1"/>
  <c r="V541" i="233" s="1"/>
  <c r="V540" i="233" s="1"/>
  <c r="V539" i="233" s="1"/>
  <c r="V538" i="233" s="1"/>
  <c r="V547" i="233" s="1"/>
  <c r="V589" i="233"/>
  <c r="V588" i="233" s="1"/>
  <c r="V587" i="233" s="1"/>
  <c r="V586" i="233" s="1"/>
  <c r="V584" i="233" s="1"/>
  <c r="V583" i="233" s="1"/>
  <c r="V582" i="233" s="1"/>
  <c r="V581" i="233" s="1"/>
  <c r="V569" i="233"/>
  <c r="V568" i="233" s="1"/>
  <c r="V567" i="233" s="1"/>
  <c r="V566" i="233" s="1"/>
  <c r="V563" i="233" s="1"/>
  <c r="V562" i="233" s="1"/>
  <c r="V561" i="233" s="1"/>
  <c r="V560" i="233" s="1"/>
  <c r="V559" i="233" s="1"/>
  <c r="V397" i="233"/>
  <c r="V396" i="233" s="1"/>
  <c r="V395" i="233" s="1"/>
  <c r="V394" i="233" s="1"/>
  <c r="V393" i="233" s="1"/>
  <c r="V392" i="233" s="1"/>
  <c r="V391" i="233" s="1"/>
  <c r="V390" i="233" s="1"/>
  <c r="V389" i="233" s="1"/>
  <c r="V398" i="233" s="1"/>
  <c r="V387" i="233"/>
  <c r="V386" i="233" s="1"/>
  <c r="V385" i="233" s="1"/>
  <c r="V384" i="233" s="1"/>
  <c r="V383" i="233" s="1"/>
  <c r="V382" i="233" s="1"/>
  <c r="V381" i="233" s="1"/>
  <c r="V380" i="233" s="1"/>
  <c r="V379" i="233" s="1"/>
  <c r="V388" i="233" s="1"/>
  <c r="V407" i="233"/>
  <c r="V406" i="233" s="1"/>
  <c r="V405" i="233" s="1"/>
  <c r="V404" i="233" s="1"/>
  <c r="V403" i="233" s="1"/>
  <c r="V402" i="233" s="1"/>
  <c r="V401" i="233" s="1"/>
  <c r="V400" i="233" s="1"/>
  <c r="V399" i="233" s="1"/>
  <c r="V408" i="233" s="1"/>
  <c r="V377" i="233"/>
  <c r="V376" i="233" s="1"/>
  <c r="V375" i="233" s="1"/>
  <c r="V374" i="233" s="1"/>
  <c r="J54" i="232"/>
  <c r="D53" i="215" s="1"/>
  <c r="G53" i="215" s="1"/>
  <c r="H53" i="215" s="1"/>
  <c r="J52" i="232"/>
  <c r="D51" i="215" s="1"/>
  <c r="G51" i="215" s="1"/>
  <c r="H51" i="215" s="1"/>
  <c r="H50" i="215" s="1"/>
  <c r="V306" i="233"/>
  <c r="V305" i="233" s="1"/>
  <c r="V304" i="233" s="1"/>
  <c r="V316" i="233"/>
  <c r="V315" i="233" s="1"/>
  <c r="V314" i="233" s="1"/>
  <c r="V313" i="233" s="1"/>
  <c r="V312" i="233" s="1"/>
  <c r="V311" i="233" s="1"/>
  <c r="V310" i="233" s="1"/>
  <c r="V309" i="233" s="1"/>
  <c r="V308" i="233" s="1"/>
  <c r="V317" i="233" s="1"/>
  <c r="V326" i="233"/>
  <c r="V325" i="233" s="1"/>
  <c r="V324" i="233" s="1"/>
  <c r="V323" i="233" s="1"/>
  <c r="V322" i="233" s="1"/>
  <c r="V321" i="233" s="1"/>
  <c r="V320" i="233" s="1"/>
  <c r="V319" i="233" s="1"/>
  <c r="V318" i="233" s="1"/>
  <c r="V327" i="233" s="1"/>
  <c r="V285" i="233"/>
  <c r="V284" i="233" s="1"/>
  <c r="V283" i="233" s="1"/>
  <c r="V282" i="233" s="1"/>
  <c r="V281" i="233" s="1"/>
  <c r="V280" i="233" s="1"/>
  <c r="V279" i="233" s="1"/>
  <c r="V278" i="233" s="1"/>
  <c r="V277" i="233" s="1"/>
  <c r="V276" i="233" s="1"/>
  <c r="V275" i="233" s="1"/>
  <c r="V274" i="233" s="1"/>
  <c r="V273" i="233" s="1"/>
  <c r="V272" i="233" s="1"/>
  <c r="V271" i="233" s="1"/>
  <c r="J46" i="232"/>
  <c r="D45" i="215" s="1"/>
  <c r="G45" i="215" s="1"/>
  <c r="H45" i="215" s="1"/>
  <c r="V208" i="233"/>
  <c r="V207" i="233" s="1"/>
  <c r="V206" i="233" s="1"/>
  <c r="V205" i="233" s="1"/>
  <c r="V204" i="233" s="1"/>
  <c r="V203" i="233" s="1"/>
  <c r="V202" i="233" s="1"/>
  <c r="V201" i="233" s="1"/>
  <c r="V200" i="233" s="1"/>
  <c r="V188" i="233"/>
  <c r="V187" i="233" s="1"/>
  <c r="V186" i="233" s="1"/>
  <c r="V185" i="233" s="1"/>
  <c r="V184" i="233" s="1"/>
  <c r="V183" i="233" s="1"/>
  <c r="V182" i="233" s="1"/>
  <c r="V181" i="233" s="1"/>
  <c r="V180" i="233" s="1"/>
  <c r="V158" i="233"/>
  <c r="V157" i="233" s="1"/>
  <c r="V156" i="233" s="1"/>
  <c r="V155" i="233" s="1"/>
  <c r="V154" i="233" s="1"/>
  <c r="V153" i="233" s="1"/>
  <c r="V152" i="233" s="1"/>
  <c r="V151" i="233" s="1"/>
  <c r="V150" i="233" s="1"/>
  <c r="V159" i="233" s="1"/>
  <c r="J33" i="232"/>
  <c r="L33" i="232" s="1"/>
  <c r="M33" i="232" s="1"/>
  <c r="K33" i="232" s="1"/>
  <c r="V133" i="233"/>
  <c r="V132" i="233" s="1"/>
  <c r="V131" i="233" s="1"/>
  <c r="V130" i="233" s="1"/>
  <c r="V128" i="233" s="1"/>
  <c r="V107" i="233"/>
  <c r="V106" i="233" s="1"/>
  <c r="V105" i="233" s="1"/>
  <c r="V104" i="233" s="1"/>
  <c r="V101" i="233" s="1"/>
  <c r="V94" i="233"/>
  <c r="V93" i="233" s="1"/>
  <c r="V92" i="233" s="1"/>
  <c r="V91" i="233" s="1"/>
  <c r="V90" i="233" s="1"/>
  <c r="V89" i="233" s="1"/>
  <c r="V88" i="233" s="1"/>
  <c r="V87" i="233" s="1"/>
  <c r="V86" i="233" s="1"/>
  <c r="V95" i="233" s="1"/>
  <c r="J25" i="232"/>
  <c r="D25" i="215" s="1"/>
  <c r="G25" i="215" s="1"/>
  <c r="H25" i="215" s="1"/>
  <c r="V63" i="233"/>
  <c r="V62" i="233" s="1"/>
  <c r="V61" i="233" s="1"/>
  <c r="V60" i="233" s="1"/>
  <c r="V59" i="233" s="1"/>
  <c r="V58" i="233" s="1"/>
  <c r="V57" i="233" s="1"/>
  <c r="V56" i="233" s="1"/>
  <c r="V55" i="233" s="1"/>
  <c r="V64" i="233" s="1"/>
  <c r="V53" i="233"/>
  <c r="V52" i="233" s="1"/>
  <c r="V51" i="233" s="1"/>
  <c r="V50" i="233" s="1"/>
  <c r="V49" i="233" s="1"/>
  <c r="V48" i="233" s="1"/>
  <c r="V47" i="233" s="1"/>
  <c r="V46" i="233" s="1"/>
  <c r="V45" i="233" s="1"/>
  <c r="V54" i="233" s="1"/>
  <c r="J17" i="232"/>
  <c r="L17" i="232" s="1"/>
  <c r="M17" i="232" s="1"/>
  <c r="K17" i="232" s="1"/>
  <c r="G43" i="220"/>
  <c r="G41" i="220" s="1"/>
  <c r="M40" i="220"/>
  <c r="P33" i="220"/>
  <c r="G28" i="220"/>
  <c r="G26" i="220" s="1"/>
  <c r="M25" i="220"/>
  <c r="M57" i="218"/>
  <c r="M58" i="218"/>
  <c r="R52" i="165"/>
  <c r="R52" i="162"/>
  <c r="E31" i="220"/>
  <c r="P31" i="220" s="1"/>
  <c r="I43" i="220"/>
  <c r="I41" i="220" s="1"/>
  <c r="J38" i="220"/>
  <c r="J36" i="220" s="1"/>
  <c r="T261" i="218"/>
  <c r="T267" i="218" s="1"/>
  <c r="R468" i="233"/>
  <c r="J467" i="233"/>
  <c r="C13" i="220"/>
  <c r="G30" i="232"/>
  <c r="I30" i="232"/>
  <c r="I91" i="232" s="1"/>
  <c r="F28" i="220"/>
  <c r="V218" i="233"/>
  <c r="V217" i="233" s="1"/>
  <c r="V216" i="233" s="1"/>
  <c r="V215" i="233" s="1"/>
  <c r="V214" i="233" s="1"/>
  <c r="V213" i="233" s="1"/>
  <c r="V212" i="233" s="1"/>
  <c r="V211" i="233" s="1"/>
  <c r="V210" i="233" s="1"/>
  <c r="V219" i="233" s="1"/>
  <c r="V168" i="233"/>
  <c r="V167" i="233" s="1"/>
  <c r="V166" i="233" s="1"/>
  <c r="V165" i="233" s="1"/>
  <c r="V164" i="233" s="1"/>
  <c r="V163" i="233" s="1"/>
  <c r="V162" i="233" s="1"/>
  <c r="V161" i="233" s="1"/>
  <c r="V160" i="233" s="1"/>
  <c r="V169" i="233" s="1"/>
  <c r="V228" i="233"/>
  <c r="V227" i="233" s="1"/>
  <c r="V226" i="233" s="1"/>
  <c r="V225" i="233" s="1"/>
  <c r="V224" i="233" s="1"/>
  <c r="V223" i="233" s="1"/>
  <c r="V222" i="233" s="1"/>
  <c r="V221" i="233" s="1"/>
  <c r="V220" i="233" s="1"/>
  <c r="V229" i="233" s="1"/>
  <c r="V178" i="233"/>
  <c r="V177" i="233" s="1"/>
  <c r="V176" i="233" s="1"/>
  <c r="V175" i="233" s="1"/>
  <c r="V174" i="233" s="1"/>
  <c r="V173" i="233" s="1"/>
  <c r="V172" i="233" s="1"/>
  <c r="V171" i="233" s="1"/>
  <c r="V170" i="233" s="1"/>
  <c r="V238" i="233"/>
  <c r="V237" i="233" s="1"/>
  <c r="V236" i="233" s="1"/>
  <c r="V235" i="233" s="1"/>
  <c r="V234" i="233" s="1"/>
  <c r="V233" i="233" s="1"/>
  <c r="V232" i="233" s="1"/>
  <c r="V231" i="233" s="1"/>
  <c r="V230" i="233" s="1"/>
  <c r="V239" i="233" s="1"/>
  <c r="V248" i="233"/>
  <c r="V247" i="233" s="1"/>
  <c r="V198" i="233"/>
  <c r="V197" i="233" s="1"/>
  <c r="V196" i="233" s="1"/>
  <c r="V195" i="233" s="1"/>
  <c r="V194" i="233" s="1"/>
  <c r="V193" i="233" s="1"/>
  <c r="V192" i="233" s="1"/>
  <c r="V191" i="233" s="1"/>
  <c r="V190" i="233" s="1"/>
  <c r="V199" i="233" s="1"/>
  <c r="J43" i="220"/>
  <c r="J41" i="220" s="1"/>
  <c r="E43" i="220"/>
  <c r="F43" i="220"/>
  <c r="F41" i="220" s="1"/>
  <c r="H43" i="220"/>
  <c r="H41" i="220" s="1"/>
  <c r="H28" i="220"/>
  <c r="H26" i="220" s="1"/>
  <c r="J51" i="164"/>
  <c r="R52" i="164"/>
  <c r="J51" i="136"/>
  <c r="R52" i="136"/>
  <c r="J51" i="135"/>
  <c r="R52" i="135"/>
  <c r="I36" i="220"/>
  <c r="J51" i="134"/>
  <c r="R52" i="134"/>
  <c r="R54" i="161"/>
  <c r="J53" i="161"/>
  <c r="J51" i="160"/>
  <c r="R52" i="160"/>
  <c r="R15" i="126"/>
  <c r="W17" i="126"/>
  <c r="R52" i="133"/>
  <c r="J51" i="133"/>
  <c r="C23" i="220"/>
  <c r="M20" i="220" s="1"/>
  <c r="G72" i="232"/>
  <c r="C18" i="220"/>
  <c r="R52" i="137"/>
  <c r="J51" i="137"/>
  <c r="J51" i="163"/>
  <c r="R52" i="163"/>
  <c r="V23" i="233"/>
  <c r="V22" i="233" s="1"/>
  <c r="V21" i="233" s="1"/>
  <c r="V20" i="233" s="1"/>
  <c r="V19" i="233" s="1"/>
  <c r="V18" i="233" s="1"/>
  <c r="V17" i="233" s="1"/>
  <c r="V16" i="233" s="1"/>
  <c r="V15" i="233" s="1"/>
  <c r="V296" i="233"/>
  <c r="V295" i="233" s="1"/>
  <c r="V294" i="233" s="1"/>
  <c r="V293" i="233" s="1"/>
  <c r="V291" i="233" s="1"/>
  <c r="V290" i="233" s="1"/>
  <c r="V289" i="233" s="1"/>
  <c r="V288" i="233" s="1"/>
  <c r="V287" i="233" s="1"/>
  <c r="V73" i="233"/>
  <c r="V72" i="233" s="1"/>
  <c r="V71" i="233" s="1"/>
  <c r="V70" i="233" s="1"/>
  <c r="V69" i="233" s="1"/>
  <c r="V68" i="233" s="1"/>
  <c r="V67" i="233" s="1"/>
  <c r="V66" i="233" s="1"/>
  <c r="V65" i="233" s="1"/>
  <c r="V74" i="233" s="1"/>
  <c r="V536" i="233"/>
  <c r="V535" i="233" s="1"/>
  <c r="V534" i="233" s="1"/>
  <c r="V533" i="233" s="1"/>
  <c r="V532" i="233" s="1"/>
  <c r="V531" i="233" s="1"/>
  <c r="V530" i="233" s="1"/>
  <c r="V529" i="233" s="1"/>
  <c r="V528" i="233" s="1"/>
  <c r="V527" i="233" s="1"/>
  <c r="V526" i="233" s="1"/>
  <c r="V525" i="233" s="1"/>
  <c r="V524" i="233" s="1"/>
  <c r="V523" i="233" s="1"/>
  <c r="V522" i="233" s="1"/>
  <c r="V521" i="233" s="1"/>
  <c r="V520" i="233" s="1"/>
  <c r="V519" i="233" s="1"/>
  <c r="V518" i="233" s="1"/>
  <c r="V517" i="233" s="1"/>
  <c r="V516" i="233" s="1"/>
  <c r="V515" i="233" s="1"/>
  <c r="V514" i="233" s="1"/>
  <c r="V33" i="233"/>
  <c r="V32" i="233" s="1"/>
  <c r="V31" i="233" s="1"/>
  <c r="V30" i="233" s="1"/>
  <c r="V29" i="233" s="1"/>
  <c r="V28" i="233" s="1"/>
  <c r="V27" i="233" s="1"/>
  <c r="V26" i="233" s="1"/>
  <c r="V25" i="233" s="1"/>
  <c r="V34" i="233" s="1"/>
  <c r="V458" i="233"/>
  <c r="V457" i="233" s="1"/>
  <c r="V456" i="233" s="1"/>
  <c r="V455" i="233" s="1"/>
  <c r="V454" i="233" s="1"/>
  <c r="V453" i="233" s="1"/>
  <c r="V452" i="233" s="1"/>
  <c r="V451" i="233" s="1"/>
  <c r="V450" i="233" s="1"/>
  <c r="V449" i="233" s="1"/>
  <c r="V448" i="233" s="1"/>
  <c r="V447" i="233" s="1"/>
  <c r="V446" i="233" s="1"/>
  <c r="V445" i="233" s="1"/>
  <c r="V444" i="233" s="1"/>
  <c r="V443" i="233" s="1"/>
  <c r="V442" i="233" s="1"/>
  <c r="V441" i="233" s="1"/>
  <c r="V440" i="233" s="1"/>
  <c r="V439" i="233" s="1"/>
  <c r="V438" i="233" s="1"/>
  <c r="V437" i="233" s="1"/>
  <c r="V436" i="233" s="1"/>
  <c r="L63" i="232"/>
  <c r="M63" i="232" s="1"/>
  <c r="K63" i="232" s="1"/>
  <c r="V43" i="233"/>
  <c r="V42" i="233" s="1"/>
  <c r="V41" i="233" s="1"/>
  <c r="V40" i="233" s="1"/>
  <c r="V39" i="233" s="1"/>
  <c r="V38" i="233" s="1"/>
  <c r="V37" i="233" s="1"/>
  <c r="V36" i="233" s="1"/>
  <c r="V35" i="233" s="1"/>
  <c r="V44" i="233" s="1"/>
  <c r="V347" i="233"/>
  <c r="V346" i="233" s="1"/>
  <c r="V345" i="233" s="1"/>
  <c r="V344" i="233" s="1"/>
  <c r="V343" i="233" s="1"/>
  <c r="V342" i="233" s="1"/>
  <c r="V341" i="233" s="1"/>
  <c r="V340" i="233" s="1"/>
  <c r="V339" i="233" s="1"/>
  <c r="V338" i="233" s="1"/>
  <c r="V337" i="233" s="1"/>
  <c r="V336" i="233" s="1"/>
  <c r="V335" i="233" s="1"/>
  <c r="V334" i="233" s="1"/>
  <c r="V333" i="233" s="1"/>
  <c r="V332" i="233" s="1"/>
  <c r="V331" i="233" s="1"/>
  <c r="V330" i="233" s="1"/>
  <c r="V329" i="233" s="1"/>
  <c r="V599" i="233"/>
  <c r="V598" i="233" s="1"/>
  <c r="V597" i="233" s="1"/>
  <c r="V596" i="233" s="1"/>
  <c r="V595" i="233" s="1"/>
  <c r="V594" i="233" s="1"/>
  <c r="V593" i="233" s="1"/>
  <c r="V592" i="233" s="1"/>
  <c r="V591" i="233" s="1"/>
  <c r="V600" i="233" s="1"/>
  <c r="V480" i="233"/>
  <c r="V479" i="233" s="1"/>
  <c r="V478" i="233" s="1"/>
  <c r="V477" i="233" s="1"/>
  <c r="V476" i="233" s="1"/>
  <c r="V475" i="233" s="1"/>
  <c r="V474" i="233" s="1"/>
  <c r="V473" i="233" s="1"/>
  <c r="V472" i="233" s="1"/>
  <c r="V471" i="233" s="1"/>
  <c r="V83" i="233"/>
  <c r="V82" i="233" s="1"/>
  <c r="V81" i="233" s="1"/>
  <c r="V80" i="233" s="1"/>
  <c r="V79" i="233" s="1"/>
  <c r="V78" i="233" s="1"/>
  <c r="V77" i="233" s="1"/>
  <c r="V76" i="233" s="1"/>
  <c r="V75" i="233" s="1"/>
  <c r="V84" i="233" s="1"/>
  <c r="V146" i="233"/>
  <c r="V145" i="233" s="1"/>
  <c r="V144" i="233" s="1"/>
  <c r="V143" i="233" s="1"/>
  <c r="V120" i="233"/>
  <c r="V119" i="233" s="1"/>
  <c r="V118" i="233" s="1"/>
  <c r="V117" i="233" s="1"/>
  <c r="R256" i="233"/>
  <c r="V373" i="233" l="1"/>
  <c r="V354" i="233"/>
  <c r="V506" i="233"/>
  <c r="V505" i="233" s="1"/>
  <c r="V504" i="233" s="1"/>
  <c r="V503" i="233" s="1"/>
  <c r="V502" i="233" s="1"/>
  <c r="V501" i="233" s="1"/>
  <c r="V500" i="233" s="1"/>
  <c r="V303" i="233"/>
  <c r="V302" i="233" s="1"/>
  <c r="V301" i="233" s="1"/>
  <c r="V300" i="233" s="1"/>
  <c r="V299" i="233" s="1"/>
  <c r="V298" i="233" s="1"/>
  <c r="V307" i="233" s="1"/>
  <c r="V189" i="233"/>
  <c r="C59" i="220"/>
  <c r="P53" i="220"/>
  <c r="Q53" i="220" s="1"/>
  <c r="E51" i="220"/>
  <c r="P51" i="220" s="1"/>
  <c r="P48" i="220"/>
  <c r="E46" i="220"/>
  <c r="P46" i="220" s="1"/>
  <c r="V268" i="233"/>
  <c r="V267" i="233" s="1"/>
  <c r="V266" i="233" s="1"/>
  <c r="V265" i="233" s="1"/>
  <c r="V264" i="233" s="1"/>
  <c r="V263" i="233" s="1"/>
  <c r="V262" i="233" s="1"/>
  <c r="V261" i="233" s="1"/>
  <c r="V260" i="233" s="1"/>
  <c r="V552" i="233"/>
  <c r="V551" i="233" s="1"/>
  <c r="V550" i="233" s="1"/>
  <c r="V549" i="233" s="1"/>
  <c r="V548" i="233" s="1"/>
  <c r="V553" i="233"/>
  <c r="D69" i="215"/>
  <c r="G69" i="215" s="1"/>
  <c r="H69" i="215" s="1"/>
  <c r="D59" i="215"/>
  <c r="G59" i="215" s="1"/>
  <c r="H59" i="215" s="1"/>
  <c r="L18" i="232"/>
  <c r="M18" i="232" s="1"/>
  <c r="K18" i="232" s="1"/>
  <c r="D23" i="215"/>
  <c r="G23" i="215" s="1"/>
  <c r="H23" i="215" s="1"/>
  <c r="D46" i="215"/>
  <c r="G46" i="215" s="1"/>
  <c r="H46" i="215" s="1"/>
  <c r="L19" i="232"/>
  <c r="M19" i="232" s="1"/>
  <c r="K19" i="232" s="1"/>
  <c r="D22" i="215"/>
  <c r="G22" i="215" s="1"/>
  <c r="H22" i="215" s="1"/>
  <c r="G91" i="232"/>
  <c r="D61" i="215"/>
  <c r="G61" i="215" s="1"/>
  <c r="H61" i="215" s="1"/>
  <c r="E13" i="220"/>
  <c r="P13" i="220" s="1"/>
  <c r="P36" i="220"/>
  <c r="D27" i="215"/>
  <c r="G27" i="215" s="1"/>
  <c r="H27" i="215" s="1"/>
  <c r="D29" i="215"/>
  <c r="G29" i="215" s="1"/>
  <c r="H29" i="215" s="1"/>
  <c r="J61" i="232"/>
  <c r="D60" i="215" s="1"/>
  <c r="G60" i="215" s="1"/>
  <c r="H60" i="215" s="1"/>
  <c r="V609" i="233"/>
  <c r="V608" i="233" s="1"/>
  <c r="V607" i="233" s="1"/>
  <c r="V606" i="233" s="1"/>
  <c r="V605" i="233" s="1"/>
  <c r="V604" i="233" s="1"/>
  <c r="V603" i="233" s="1"/>
  <c r="V602" i="233" s="1"/>
  <c r="V601" i="233" s="1"/>
  <c r="V470" i="233"/>
  <c r="V355" i="233"/>
  <c r="L52" i="232"/>
  <c r="M52" i="232" s="1"/>
  <c r="M51" i="232" s="1"/>
  <c r="V565" i="233"/>
  <c r="V564" i="233" s="1"/>
  <c r="V570" i="233" s="1"/>
  <c r="V585" i="233"/>
  <c r="V590" i="233" s="1"/>
  <c r="D63" i="215"/>
  <c r="G63" i="215" s="1"/>
  <c r="H63" i="215" s="1"/>
  <c r="J59" i="232"/>
  <c r="L59" i="232" s="1"/>
  <c r="M59" i="232" s="1"/>
  <c r="K59" i="232" s="1"/>
  <c r="V100" i="233"/>
  <c r="V99" i="233" s="1"/>
  <c r="V98" i="233" s="1"/>
  <c r="V97" i="233" s="1"/>
  <c r="V96" i="233" s="1"/>
  <c r="V129" i="233"/>
  <c r="V127" i="233"/>
  <c r="V126" i="233"/>
  <c r="V125" i="233" s="1"/>
  <c r="V124" i="233" s="1"/>
  <c r="V123" i="233" s="1"/>
  <c r="V122" i="233" s="1"/>
  <c r="V103" i="233"/>
  <c r="D17" i="215"/>
  <c r="G17" i="215" s="1"/>
  <c r="H17" i="215" s="1"/>
  <c r="V102" i="233"/>
  <c r="P43" i="220"/>
  <c r="P38" i="220"/>
  <c r="F26" i="220"/>
  <c r="P26" i="220" s="1"/>
  <c r="P28" i="220"/>
  <c r="O267" i="218"/>
  <c r="V115" i="233"/>
  <c r="V116" i="233"/>
  <c r="V141" i="233"/>
  <c r="V142" i="233"/>
  <c r="T262" i="218"/>
  <c r="T268" i="218" s="1"/>
  <c r="O268" i="218" s="1"/>
  <c r="E41" i="220"/>
  <c r="P41" i="220" s="1"/>
  <c r="V113" i="233"/>
  <c r="V112" i="233" s="1"/>
  <c r="V111" i="233" s="1"/>
  <c r="V110" i="233" s="1"/>
  <c r="V109" i="233" s="1"/>
  <c r="V114" i="233"/>
  <c r="V139" i="233"/>
  <c r="V138" i="233" s="1"/>
  <c r="V137" i="233" s="1"/>
  <c r="V136" i="233" s="1"/>
  <c r="V135" i="233" s="1"/>
  <c r="V140" i="233"/>
  <c r="O261" i="218"/>
  <c r="V468" i="233"/>
  <c r="V467" i="233" s="1"/>
  <c r="V466" i="233" s="1"/>
  <c r="V465" i="233" s="1"/>
  <c r="V464" i="233" s="1"/>
  <c r="V463" i="233" s="1"/>
  <c r="V462" i="233" s="1"/>
  <c r="V461" i="233" s="1"/>
  <c r="V460" i="233" s="1"/>
  <c r="V469" i="233" s="1"/>
  <c r="D41" i="215"/>
  <c r="G41" i="215" s="1"/>
  <c r="H41" i="215" s="1"/>
  <c r="D39" i="215"/>
  <c r="G39" i="215" s="1"/>
  <c r="H39" i="215" s="1"/>
  <c r="L35" i="232"/>
  <c r="M35" i="232" s="1"/>
  <c r="K35" i="232" s="1"/>
  <c r="L39" i="232"/>
  <c r="M39" i="232" s="1"/>
  <c r="K39" i="232" s="1"/>
  <c r="D36" i="215"/>
  <c r="G36" i="215" s="1"/>
  <c r="H36" i="215" s="1"/>
  <c r="D40" i="215"/>
  <c r="G40" i="215" s="1"/>
  <c r="H40" i="215" s="1"/>
  <c r="D33" i="215"/>
  <c r="G33" i="215" s="1"/>
  <c r="H33" i="215" s="1"/>
  <c r="L50" i="232"/>
  <c r="M50" i="232" s="1"/>
  <c r="K50" i="232" s="1"/>
  <c r="V245" i="233"/>
  <c r="V243" i="233" s="1"/>
  <c r="V242" i="233" s="1"/>
  <c r="V241" i="233" s="1"/>
  <c r="V240" i="233" s="1"/>
  <c r="V246" i="233"/>
  <c r="V244" i="233" s="1"/>
  <c r="V24" i="233"/>
  <c r="V14" i="233" s="1"/>
  <c r="D66" i="215"/>
  <c r="G66" i="215" s="1"/>
  <c r="H66" i="215" s="1"/>
  <c r="V434" i="233"/>
  <c r="V433" i="233" s="1"/>
  <c r="V432" i="233" s="1"/>
  <c r="V431" i="233" s="1"/>
  <c r="V430" i="233" s="1"/>
  <c r="V429" i="233" s="1"/>
  <c r="V428" i="233" s="1"/>
  <c r="V427" i="233" s="1"/>
  <c r="V426" i="233" s="1"/>
  <c r="V425" i="233" s="1"/>
  <c r="V424" i="233" s="1"/>
  <c r="V423" i="233" s="1"/>
  <c r="V422" i="233" s="1"/>
  <c r="V421" i="233" s="1"/>
  <c r="V420" i="233" s="1"/>
  <c r="V419" i="233" s="1"/>
  <c r="V418" i="233" s="1"/>
  <c r="V417" i="233" s="1"/>
  <c r="V416" i="233" s="1"/>
  <c r="V415" i="233" s="1"/>
  <c r="V414" i="233" s="1"/>
  <c r="V413" i="233" s="1"/>
  <c r="V412" i="233" s="1"/>
  <c r="V411" i="233" s="1"/>
  <c r="V410" i="233" s="1"/>
  <c r="L46" i="232"/>
  <c r="M46" i="232" s="1"/>
  <c r="K46" i="232" s="1"/>
  <c r="F16" i="220"/>
  <c r="G16" i="220"/>
  <c r="F23" i="220"/>
  <c r="H23" i="220"/>
  <c r="I23" i="220"/>
  <c r="E23" i="220"/>
  <c r="G23" i="220"/>
  <c r="J23" i="220"/>
  <c r="R49" i="126"/>
  <c r="R50" i="126"/>
  <c r="D70" i="215"/>
  <c r="G70" i="215" s="1"/>
  <c r="H70" i="215" s="1"/>
  <c r="L54" i="232"/>
  <c r="M54" i="232" s="1"/>
  <c r="K54" i="232" s="1"/>
  <c r="L69" i="232"/>
  <c r="M69" i="232" s="1"/>
  <c r="K69" i="232" s="1"/>
  <c r="L66" i="232"/>
  <c r="M66" i="232" s="1"/>
  <c r="K66" i="232" s="1"/>
  <c r="D65" i="215"/>
  <c r="G65" i="215" s="1"/>
  <c r="H65" i="215" s="1"/>
  <c r="D64" i="215"/>
  <c r="G64" i="215" s="1"/>
  <c r="H64" i="215" s="1"/>
  <c r="L20" i="232"/>
  <c r="M20" i="232" s="1"/>
  <c r="K20" i="232" s="1"/>
  <c r="D62" i="215"/>
  <c r="G62" i="215" s="1"/>
  <c r="H62" i="215" s="1"/>
  <c r="D35" i="215"/>
  <c r="G35" i="215" s="1"/>
  <c r="H35" i="215" s="1"/>
  <c r="L44" i="232"/>
  <c r="M44" i="232" s="1"/>
  <c r="K44" i="232" s="1"/>
  <c r="L28" i="232"/>
  <c r="M28" i="232" s="1"/>
  <c r="K28" i="232" s="1"/>
  <c r="D21" i="215"/>
  <c r="G21" i="215" s="1"/>
  <c r="H21" i="215" s="1"/>
  <c r="D47" i="215"/>
  <c r="G47" i="215" s="1"/>
  <c r="H47" i="215" s="1"/>
  <c r="D48" i="215"/>
  <c r="G48" i="215" s="1"/>
  <c r="H48" i="215" s="1"/>
  <c r="L26" i="232"/>
  <c r="M26" i="232" s="1"/>
  <c r="K26" i="232" s="1"/>
  <c r="D67" i="215"/>
  <c r="G67" i="215" s="1"/>
  <c r="H67" i="215" s="1"/>
  <c r="L56" i="232"/>
  <c r="M56" i="232" s="1"/>
  <c r="K56" i="232" s="1"/>
  <c r="D56" i="215"/>
  <c r="G56" i="215" s="1"/>
  <c r="H56" i="215" s="1"/>
  <c r="H52" i="215" s="1"/>
  <c r="L25" i="232"/>
  <c r="M25" i="232" s="1"/>
  <c r="K25" i="232" s="1"/>
  <c r="L55" i="232"/>
  <c r="M55" i="232" s="1"/>
  <c r="K55" i="232" s="1"/>
  <c r="D37" i="215"/>
  <c r="G37" i="215" s="1"/>
  <c r="H37" i="215" s="1"/>
  <c r="D32" i="215"/>
  <c r="G32" i="215" s="1"/>
  <c r="H32" i="215" s="1"/>
  <c r="R258" i="233"/>
  <c r="J257" i="233"/>
  <c r="V372" i="233" l="1"/>
  <c r="V353" i="233"/>
  <c r="V499" i="233"/>
  <c r="V498" i="233" s="1"/>
  <c r="V497" i="233" s="1"/>
  <c r="V496" i="233" s="1"/>
  <c r="V495" i="233" s="1"/>
  <c r="V494" i="233" s="1"/>
  <c r="V493" i="233" s="1"/>
  <c r="V492" i="233" s="1"/>
  <c r="V491" i="233" s="1"/>
  <c r="V490" i="233" s="1"/>
  <c r="V489" i="233" s="1"/>
  <c r="V488" i="233" s="1"/>
  <c r="V487" i="233" s="1"/>
  <c r="V486" i="233" s="1"/>
  <c r="V485" i="233" s="1"/>
  <c r="V484" i="233" s="1"/>
  <c r="V483" i="233" s="1"/>
  <c r="V482" i="233" s="1"/>
  <c r="E11" i="220"/>
  <c r="P11" i="220" s="1"/>
  <c r="V209" i="233"/>
  <c r="V558" i="233"/>
  <c r="V286" i="233"/>
  <c r="V179" i="233"/>
  <c r="K16" i="232"/>
  <c r="H24" i="215"/>
  <c r="L61" i="232"/>
  <c r="M61" i="232" s="1"/>
  <c r="K61" i="232" s="1"/>
  <c r="K58" i="232" s="1"/>
  <c r="N70" i="220" s="1"/>
  <c r="N42" i="220" s="1"/>
  <c r="J43" i="232"/>
  <c r="V481" i="233"/>
  <c r="K52" i="232"/>
  <c r="K51" i="232" s="1"/>
  <c r="N68" i="220" s="1"/>
  <c r="D58" i="215"/>
  <c r="G58" i="215" s="1"/>
  <c r="H58" i="215" s="1"/>
  <c r="H57" i="215" s="1"/>
  <c r="H16" i="215"/>
  <c r="V134" i="233"/>
  <c r="V108" i="233"/>
  <c r="V258" i="233"/>
  <c r="V257" i="233" s="1"/>
  <c r="V256" i="233" s="1"/>
  <c r="V255" i="233" s="1"/>
  <c r="V254" i="233" s="1"/>
  <c r="V253" i="233" s="1"/>
  <c r="V252" i="233" s="1"/>
  <c r="V251" i="233" s="1"/>
  <c r="V250" i="233" s="1"/>
  <c r="V259" i="233" s="1"/>
  <c r="P18" i="220"/>
  <c r="P23" i="220"/>
  <c r="L30" i="220"/>
  <c r="O262" i="218"/>
  <c r="V348" i="233"/>
  <c r="V328" i="233" s="1"/>
  <c r="K30" i="220"/>
  <c r="V147" i="233"/>
  <c r="V121" i="233"/>
  <c r="I30" i="220"/>
  <c r="K45" i="232"/>
  <c r="N67" i="220" s="1"/>
  <c r="N27" i="220" s="1"/>
  <c r="V249" i="233"/>
  <c r="G30" i="220"/>
  <c r="H30" i="220"/>
  <c r="M45" i="232"/>
  <c r="J50" i="126"/>
  <c r="R51" i="126"/>
  <c r="I21" i="220"/>
  <c r="I57" i="220"/>
  <c r="E16" i="220"/>
  <c r="P16" i="220" s="1"/>
  <c r="E21" i="220"/>
  <c r="J57" i="220"/>
  <c r="J21" i="220"/>
  <c r="H21" i="220"/>
  <c r="H57" i="220"/>
  <c r="G131" i="239" s="1"/>
  <c r="G21" i="220"/>
  <c r="G57" i="220"/>
  <c r="F57" i="220"/>
  <c r="E129" i="239" s="1"/>
  <c r="F21" i="220"/>
  <c r="M16" i="232"/>
  <c r="H44" i="215"/>
  <c r="K24" i="232"/>
  <c r="N65" i="220" s="1"/>
  <c r="N17" i="220" s="1"/>
  <c r="K53" i="232"/>
  <c r="N69" i="220" s="1"/>
  <c r="N37" i="220" s="1"/>
  <c r="M53" i="232"/>
  <c r="M24" i="232"/>
  <c r="V297" i="233"/>
  <c r="V371" i="233" l="1"/>
  <c r="V352" i="233"/>
  <c r="V513" i="233"/>
  <c r="P68" i="220"/>
  <c r="N32" i="220"/>
  <c r="N30" i="220" s="1"/>
  <c r="P30" i="220" s="1"/>
  <c r="V459" i="233"/>
  <c r="N64" i="220"/>
  <c r="H15" i="215"/>
  <c r="V270" i="233"/>
  <c r="M58" i="232"/>
  <c r="P59" i="220"/>
  <c r="P21" i="220"/>
  <c r="P70" i="220"/>
  <c r="P65" i="220"/>
  <c r="P69" i="220"/>
  <c r="P67" i="220"/>
  <c r="L15" i="220"/>
  <c r="L25" i="220"/>
  <c r="L40" i="220"/>
  <c r="L35" i="220"/>
  <c r="K40" i="220"/>
  <c r="V85" i="233"/>
  <c r="V13" i="233" s="1"/>
  <c r="J25" i="220"/>
  <c r="J15" i="220"/>
  <c r="I35" i="220"/>
  <c r="J35" i="220"/>
  <c r="J40" i="220"/>
  <c r="H25" i="220"/>
  <c r="I25" i="220"/>
  <c r="K30" i="232"/>
  <c r="M30" i="232"/>
  <c r="G15" i="220"/>
  <c r="G40" i="220"/>
  <c r="H40" i="220"/>
  <c r="G25" i="220"/>
  <c r="G35" i="220"/>
  <c r="H35" i="220"/>
  <c r="E57" i="220"/>
  <c r="P57" i="220" s="1"/>
  <c r="L43" i="232"/>
  <c r="M43" i="232" s="1"/>
  <c r="D42" i="215"/>
  <c r="G42" i="215" s="1"/>
  <c r="H42" i="215" s="1"/>
  <c r="H31" i="215" s="1"/>
  <c r="H30" i="215" s="1"/>
  <c r="G10" i="220"/>
  <c r="Q59" i="220" l="1"/>
  <c r="R59" i="220"/>
  <c r="V370" i="233"/>
  <c r="V369" i="233" s="1"/>
  <c r="V368" i="233" s="1"/>
  <c r="V367" i="233" s="1"/>
  <c r="V366" i="233" s="1"/>
  <c r="V365" i="233" s="1"/>
  <c r="V364" i="233" s="1"/>
  <c r="V363" i="233" s="1"/>
  <c r="V362" i="233" s="1"/>
  <c r="V361" i="233" s="1"/>
  <c r="V360" i="233" s="1"/>
  <c r="V359" i="233" s="1"/>
  <c r="V358" i="233" s="1"/>
  <c r="V357" i="233" s="1"/>
  <c r="V356" i="233" s="1"/>
  <c r="V351" i="233"/>
  <c r="V350" i="233" s="1"/>
  <c r="V512" i="233"/>
  <c r="P64" i="220"/>
  <c r="N12" i="220"/>
  <c r="N10" i="220" s="1"/>
  <c r="P10" i="220" s="1"/>
  <c r="N45" i="220"/>
  <c r="P45" i="220" s="1"/>
  <c r="P47" i="220"/>
  <c r="P32" i="220"/>
  <c r="N35" i="220"/>
  <c r="P37" i="220"/>
  <c r="N25" i="220"/>
  <c r="P27" i="220"/>
  <c r="N15" i="220"/>
  <c r="N40" i="220"/>
  <c r="P42" i="220"/>
  <c r="K15" i="220"/>
  <c r="K25" i="220"/>
  <c r="K35" i="220"/>
  <c r="I40" i="220"/>
  <c r="I15" i="220"/>
  <c r="D129" i="239"/>
  <c r="D131" i="239" s="1"/>
  <c r="E131" i="239" s="1"/>
  <c r="H131" i="239" s="1"/>
  <c r="K43" i="232"/>
  <c r="K32" i="232" s="1"/>
  <c r="K72" i="232" s="1"/>
  <c r="M32" i="232"/>
  <c r="I131" i="239" l="1"/>
  <c r="V378" i="233"/>
  <c r="V349" i="233" s="1"/>
  <c r="V511" i="233"/>
  <c r="K91" i="232"/>
  <c r="M92" i="232" s="1"/>
  <c r="M72" i="232"/>
  <c r="M91" i="232" s="1"/>
  <c r="N92" i="232" s="1"/>
  <c r="P17" i="220"/>
  <c r="P12" i="220"/>
  <c r="P40" i="220"/>
  <c r="N66" i="220"/>
  <c r="N73" i="220" s="1"/>
  <c r="P25" i="220"/>
  <c r="P35" i="220"/>
  <c r="M56" i="220"/>
  <c r="L128" i="239" s="1"/>
  <c r="L132" i="239" s="1"/>
  <c r="I20" i="220"/>
  <c r="H20" i="220"/>
  <c r="H15" i="220"/>
  <c r="P15" i="220" s="1"/>
  <c r="J131" i="239" l="1"/>
  <c r="V510" i="233"/>
  <c r="G19" i="219"/>
  <c r="N19" i="219" s="1"/>
  <c r="P74" i="220"/>
  <c r="N22" i="220"/>
  <c r="N58" i="220" s="1"/>
  <c r="P66" i="220"/>
  <c r="N17" i="219"/>
  <c r="K17" i="219"/>
  <c r="L20" i="220"/>
  <c r="N16" i="219"/>
  <c r="K16" i="219"/>
  <c r="K20" i="220"/>
  <c r="K56" i="220"/>
  <c r="J128" i="239" s="1"/>
  <c r="J132" i="239" s="1"/>
  <c r="N14" i="219"/>
  <c r="K14" i="219"/>
  <c r="I56" i="220"/>
  <c r="N13" i="219"/>
  <c r="K13" i="219"/>
  <c r="N12" i="219"/>
  <c r="K12" i="219"/>
  <c r="H56" i="220"/>
  <c r="G128" i="239" s="1"/>
  <c r="K11" i="219"/>
  <c r="N11" i="219"/>
  <c r="M1" i="232"/>
  <c r="G132" i="239" l="1"/>
  <c r="H128" i="239"/>
  <c r="H132" i="239" s="1"/>
  <c r="K131" i="239"/>
  <c r="V537" i="233"/>
  <c r="K19" i="219"/>
  <c r="P73" i="220"/>
  <c r="P22" i="220"/>
  <c r="N56" i="220"/>
  <c r="M128" i="239" s="1"/>
  <c r="M132" i="239" s="1"/>
  <c r="N20" i="220"/>
  <c r="L56" i="220"/>
  <c r="K128" i="239" s="1"/>
  <c r="K132" i="239" s="1"/>
  <c r="J20" i="220"/>
  <c r="G20" i="220"/>
  <c r="N10" i="219"/>
  <c r="H10" i="219"/>
  <c r="K10" i="219"/>
  <c r="L131" i="239" l="1"/>
  <c r="P20" i="220"/>
  <c r="P58" i="220"/>
  <c r="J56" i="220"/>
  <c r="I128" i="239" s="1"/>
  <c r="I132" i="239" s="1"/>
  <c r="I10" i="219"/>
  <c r="H11" i="219"/>
  <c r="O10" i="219"/>
  <c r="G56" i="220"/>
  <c r="F128" i="239" l="1"/>
  <c r="F132" i="239" s="1"/>
  <c r="P56" i="220"/>
  <c r="H12" i="219"/>
  <c r="I11" i="219"/>
  <c r="O11" i="219"/>
  <c r="V269" i="233"/>
  <c r="F130" i="239" l="1"/>
  <c r="G130" i="239" s="1"/>
  <c r="H130" i="239" s="1"/>
  <c r="I130" i="239" s="1"/>
  <c r="J130" i="239" s="1"/>
  <c r="K130" i="239" s="1"/>
  <c r="L130" i="239" s="1"/>
  <c r="M130" i="239" s="1"/>
  <c r="H13" i="219"/>
  <c r="O12" i="219"/>
  <c r="I12" i="219"/>
  <c r="V149" i="233"/>
  <c r="H14" i="219" l="1"/>
  <c r="O13" i="219"/>
  <c r="I13" i="219"/>
  <c r="H16" i="219" l="1"/>
  <c r="O14" i="219"/>
  <c r="I14" i="219"/>
  <c r="H17" i="219" l="1"/>
  <c r="O16" i="219"/>
  <c r="I16" i="219"/>
  <c r="H19" i="219" l="1"/>
  <c r="I19" i="219" s="1"/>
  <c r="I17" i="219"/>
  <c r="O17" i="219"/>
  <c r="G41" i="219" l="1"/>
  <c r="O19" i="219"/>
  <c r="K41" i="219"/>
  <c r="V435" i="233"/>
  <c r="V614" i="233"/>
  <c r="O41" i="219" l="1"/>
  <c r="I41" i="219"/>
  <c r="I50" i="219" s="1"/>
  <c r="M56" i="218"/>
  <c r="G51" i="219"/>
  <c r="G50" i="219"/>
  <c r="M55" i="218"/>
  <c r="V659" i="233" l="1"/>
  <c r="V627" i="233" s="1"/>
  <c r="V615" i="233" s="1"/>
  <c r="V509" i="233"/>
  <c r="V409" i="233" s="1"/>
  <c r="V148" i="233" s="1"/>
</calcChain>
</file>

<file path=xl/sharedStrings.xml><?xml version="1.0" encoding="utf-8"?>
<sst xmlns="http://schemas.openxmlformats.org/spreadsheetml/2006/main" count="6857" uniqueCount="1118">
  <si>
    <t>ITEM</t>
  </si>
  <si>
    <t>CÓDIGO</t>
  </si>
  <si>
    <t>QUANT.</t>
  </si>
  <si>
    <t>TOTAL</t>
  </si>
  <si>
    <t>ACUMULADO ANTERIOR</t>
  </si>
  <si>
    <t>m³</t>
  </si>
  <si>
    <t>t</t>
  </si>
  <si>
    <t>m²</t>
  </si>
  <si>
    <t>m</t>
  </si>
  <si>
    <t>INFORMAÇÕES GERAIS DA MEDIÇÃO</t>
  </si>
  <si>
    <t>CONTRATO DE EMPREITEIRA</t>
  </si>
  <si>
    <t>MEDIÇÃO:</t>
  </si>
  <si>
    <t>PERÍODO:</t>
  </si>
  <si>
    <t>EMPREITEIRA:</t>
  </si>
  <si>
    <t>INICIAL</t>
  </si>
  <si>
    <t>FINAL</t>
  </si>
  <si>
    <t>%</t>
  </si>
  <si>
    <t>MEDIÇÃO</t>
  </si>
  <si>
    <t>QUANTIDADE CONTRATUAL</t>
  </si>
  <si>
    <t xml:space="preserve">QUANTIDADE TOTAL ACUMULADA </t>
  </si>
  <si>
    <t>AVANÇO</t>
  </si>
  <si>
    <t>ACUMULADA ANTERIOR</t>
  </si>
  <si>
    <t>MEDIÇÃO LÍQUIDA</t>
  </si>
  <si>
    <t>ÍNDICE</t>
  </si>
  <si>
    <t xml:space="preserve">Nº Contrato: </t>
  </si>
  <si>
    <t>Ordem de Início:</t>
  </si>
  <si>
    <t>Assinatura do Contrato:</t>
  </si>
  <si>
    <t>Vigência do Contrato:</t>
  </si>
  <si>
    <t>Objeto do Contrato:</t>
  </si>
  <si>
    <t>Data Base:</t>
  </si>
  <si>
    <t>Gestor do Contrato:</t>
  </si>
  <si>
    <t>Setor:</t>
  </si>
  <si>
    <t>Fiscal do Contrato:</t>
  </si>
  <si>
    <t>Edital de Licitação Nº:</t>
  </si>
  <si>
    <t>Empreiteira:</t>
  </si>
  <si>
    <t>Data da Publicação:</t>
  </si>
  <si>
    <t>REFERÊNCIA:</t>
  </si>
  <si>
    <t>TRECHO:</t>
  </si>
  <si>
    <t>CONTRATO:</t>
  </si>
  <si>
    <t>EQUIPE MOBILIZADA</t>
  </si>
  <si>
    <t xml:space="preserve"> QUANTIDADE MOBILIZADA</t>
  </si>
  <si>
    <t>MÃO DE OBRA INDIRETA</t>
  </si>
  <si>
    <t>MÃO DE OBRA DIRETA</t>
  </si>
  <si>
    <t>OBSERVAÇÕES DA SUPERVISORA</t>
  </si>
  <si>
    <t>EQUIPAMENTO</t>
  </si>
  <si>
    <t>QUANTIDADE MOBILIZADA</t>
  </si>
  <si>
    <t>ESTADO DE CONSERVAÇÃO</t>
  </si>
  <si>
    <t>REALIZADO</t>
  </si>
  <si>
    <t>BOM</t>
  </si>
  <si>
    <t xml:space="preserve">RUIM </t>
  </si>
  <si>
    <t>ÓTIMO</t>
  </si>
  <si>
    <t>VALOR</t>
  </si>
  <si>
    <t>PRAZO (DIAS)</t>
  </si>
  <si>
    <t>ASSINATURA</t>
  </si>
  <si>
    <t>CONTRATO ORIGINAL</t>
  </si>
  <si>
    <t>HISTÓRICO</t>
  </si>
  <si>
    <t>DESCRIÇÃO</t>
  </si>
  <si>
    <t>PERÍODO</t>
  </si>
  <si>
    <t>a</t>
  </si>
  <si>
    <t>DIA</t>
  </si>
  <si>
    <t>0-6hs /
6-12hs</t>
  </si>
  <si>
    <t>12-18hs / 
18-24hs</t>
  </si>
  <si>
    <t>Praticab.
(%)</t>
  </si>
  <si>
    <t>LEGENDA:</t>
  </si>
  <si>
    <t>PRATICÁVEL</t>
  </si>
  <si>
    <t>IMPRATICÁVEL</t>
  </si>
  <si>
    <t>DIAS</t>
  </si>
  <si>
    <t>PRATICABILIDADE DIÁRIA</t>
  </si>
  <si>
    <t>+</t>
  </si>
  <si>
    <t>LD</t>
  </si>
  <si>
    <t>LE</t>
  </si>
  <si>
    <t>___________________________________</t>
  </si>
  <si>
    <t>MÉDIA</t>
  </si>
  <si>
    <t>PREVISTO</t>
  </si>
  <si>
    <t>TIPO</t>
  </si>
  <si>
    <r>
      <rPr>
        <b/>
        <sz val="9"/>
        <color theme="1"/>
        <rFont val="Arial"/>
        <family val="2"/>
      </rPr>
      <t>1.</t>
    </r>
    <r>
      <rPr>
        <sz val="9"/>
        <color theme="1"/>
        <rFont val="Arial"/>
        <family val="2"/>
      </rPr>
      <t xml:space="preserve"> O quantitativo </t>
    </r>
    <r>
      <rPr>
        <sz val="9"/>
        <color rgb="FF0000FF"/>
        <rFont val="Arial"/>
        <family val="2"/>
      </rPr>
      <t>NO PERÍODO</t>
    </r>
    <r>
      <rPr>
        <sz val="9"/>
        <color theme="1"/>
        <rFont val="Arial"/>
        <family val="2"/>
      </rPr>
      <t xml:space="preserve"> refere-se a lista de Relação de Equipe apresentados pela empreiteira no Plano de Trabalho (PT).
</t>
    </r>
    <r>
      <rPr>
        <b/>
        <sz val="9"/>
        <color theme="1"/>
        <rFont val="Arial"/>
        <family val="2"/>
      </rPr>
      <t>2.</t>
    </r>
    <r>
      <rPr>
        <sz val="9"/>
        <color theme="1"/>
        <rFont val="Arial"/>
        <family val="2"/>
      </rPr>
      <t xml:space="preserve"> O quantitativo </t>
    </r>
    <r>
      <rPr>
        <sz val="9"/>
        <color rgb="FFFF0000"/>
        <rFont val="Arial"/>
        <family val="2"/>
      </rPr>
      <t>REALIZADO</t>
    </r>
    <r>
      <rPr>
        <sz val="9"/>
        <color theme="1"/>
        <rFont val="Arial"/>
        <family val="2"/>
      </rPr>
      <t xml:space="preserve"> refere-se a lista de Equipamentos apontados pela supervisora.</t>
    </r>
  </si>
  <si>
    <t>total</t>
  </si>
  <si>
    <t>Licenças Ambientais:</t>
  </si>
  <si>
    <t>OBRAS COMPLEMENTARES</t>
  </si>
  <si>
    <t>DESCRIÇÃO:</t>
  </si>
  <si>
    <t>2</t>
  </si>
  <si>
    <t>TERRAPLANAGEM</t>
  </si>
  <si>
    <t>1.4</t>
  </si>
  <si>
    <t>3</t>
  </si>
  <si>
    <t>3.4</t>
  </si>
  <si>
    <t>4</t>
  </si>
  <si>
    <t>5</t>
  </si>
  <si>
    <t>6</t>
  </si>
  <si>
    <t>7</t>
  </si>
  <si>
    <t>7.1</t>
  </si>
  <si>
    <t>8</t>
  </si>
  <si>
    <t>9</t>
  </si>
  <si>
    <t>9.1</t>
  </si>
  <si>
    <t>10</t>
  </si>
  <si>
    <t>10.1</t>
  </si>
  <si>
    <t>10.2</t>
  </si>
  <si>
    <r>
      <t xml:space="preserve">TRECHO: </t>
    </r>
    <r>
      <rPr>
        <sz val="12"/>
        <rFont val="Calibri"/>
        <family val="2"/>
        <scheme val="minor"/>
      </rPr>
      <t xml:space="preserve"> </t>
    </r>
  </si>
  <si>
    <t xml:space="preserve">ESTACA </t>
  </si>
  <si>
    <t>POS.</t>
  </si>
  <si>
    <t>UND</t>
  </si>
  <si>
    <t>Croqui Anexo</t>
  </si>
  <si>
    <t>und</t>
  </si>
  <si>
    <t>EXTENSÃO (m)</t>
  </si>
  <si>
    <t>LARGURA (m)</t>
  </si>
  <si>
    <t>(t/m³)</t>
  </si>
  <si>
    <t>EX</t>
  </si>
  <si>
    <t>TR</t>
  </si>
  <si>
    <t>VOLUME (m³)</t>
  </si>
  <si>
    <t>Linear Pavimentação - PAV 02/04</t>
  </si>
  <si>
    <t>Linear Pavimentação - PAV 01</t>
  </si>
  <si>
    <t>OBSERVAÇÃO</t>
  </si>
  <si>
    <t>DENSIDADE                            (t/m³)</t>
  </si>
  <si>
    <t>ÁREA                    (m²)</t>
  </si>
  <si>
    <t>PROF.                    (m)</t>
  </si>
  <si>
    <t>EMPREITEIRA:  Cinco Estrelas Construtora e Incorporadora Ltda</t>
  </si>
  <si>
    <r>
      <rPr>
        <b/>
        <sz val="12"/>
        <rFont val="Arial"/>
        <family val="2"/>
      </rPr>
      <t>GOVERNO DO ESTADO DO ESPÍRITO SANTO</t>
    </r>
    <r>
      <rPr>
        <sz val="12"/>
        <rFont val="Arial"/>
        <family val="2"/>
      </rPr>
      <t xml:space="preserve">
Secretaria do Estado de Mobilidade e Infraestrutura- SEMOBI
Departamento de Edificações e de Rodovias do Espírito Santo - DER-ES
</t>
    </r>
    <r>
      <rPr>
        <b/>
        <sz val="12"/>
        <rFont val="Arial"/>
        <family val="2"/>
      </rPr>
      <t>Superintendência Executiva de Empreendimentos Urbanos - SE-U</t>
    </r>
    <r>
      <rPr>
        <sz val="10"/>
        <rFont val="Arial"/>
        <family val="2"/>
      </rPr>
      <t xml:space="preserve">
</t>
    </r>
  </si>
  <si>
    <t>TAXA              l/m²</t>
  </si>
  <si>
    <t>Tampa passarela galeria antiga 3,50x1,50x0,17m</t>
  </si>
  <si>
    <t>Tampa danificada e substituída bueiro, dimensão 1,60x0,60x0,10m</t>
  </si>
  <si>
    <t>Tampa danificada e substituída bueiro, dimensão 1,20x1,05x0,10m</t>
  </si>
  <si>
    <t>Tampa danificada e substituída bueiro, dimensão 1,00x1,00x0,10m</t>
  </si>
  <si>
    <t>Tampa danificada e substituída bueiro, dimensão 0,95x0,95x0,10m</t>
  </si>
  <si>
    <t>Tampa danificada e substituída bueiro, dimensão 0,7x0,7x0,10m</t>
  </si>
  <si>
    <t>Tampa danificada e substituída bueiro, dimensão 1,6x1,8x0,10m</t>
  </si>
  <si>
    <t>Tampa danificada e substituída bueiro, dimensão 1,6x1,6x0,10m</t>
  </si>
  <si>
    <t>Tampa danificada e substituída T03 dimensão 1,70x1,70x0,20m</t>
  </si>
  <si>
    <t>Tampa danificada e substituída T02, dimensão 1,70x1,70x0,20m</t>
  </si>
  <si>
    <t>Tampa danificada e substituída T01, dimensão 1,70x1,70x0,20m</t>
  </si>
  <si>
    <t>Calçada provisória para acesso pedestres</t>
  </si>
  <si>
    <t>Corpo BSCC 1,50X1,50m (caixa adequação interferência)</t>
  </si>
  <si>
    <t>Tampa danificada e substituída T03, dimensão 1,7x1,7x0,20m</t>
  </si>
  <si>
    <t>Tampa danificada e substituída T02, dimensão 2,7x2,7x0,20m</t>
  </si>
  <si>
    <t>Tampa danificada e substituída T01, dimensão 2,0x2,0x0,20m</t>
  </si>
  <si>
    <t>5.3</t>
  </si>
  <si>
    <t>Ciclovia</t>
  </si>
  <si>
    <t>Concreto envelopamento rede provisória de esgotamento de agua</t>
  </si>
  <si>
    <t>Concreto envelopamento de eletroduto sinalização semafórica</t>
  </si>
  <si>
    <t>Rampa calçada provisória</t>
  </si>
  <si>
    <t>Croqui Anexo - DRE - 01/02</t>
  </si>
  <si>
    <t>Consumo kg/m</t>
  </si>
  <si>
    <t>Croqui Anexo - DRE - 02/02</t>
  </si>
  <si>
    <t>diferença a ser cobrada</t>
  </si>
  <si>
    <t>Croqui Anexo - EN - 01/01</t>
  </si>
  <si>
    <t>Envelopamento reforçado - Corpo BSTC diâmetro 0,40 m</t>
  </si>
  <si>
    <t>Concreto canteiro central para trafego de veiculos</t>
  </si>
  <si>
    <t>DESCONTO DO TUBO                   (m³)</t>
  </si>
  <si>
    <t>5.5</t>
  </si>
  <si>
    <t>Linear de Drenagem - DR 01/02</t>
  </si>
  <si>
    <t>Boca de lobo simples</t>
  </si>
  <si>
    <t>Linear de Drenagem - DR 02/01</t>
  </si>
  <si>
    <t>Linear de Drenagem - DR 02/02</t>
  </si>
  <si>
    <t>Linear de Drenagem - DR 01/01</t>
  </si>
  <si>
    <t>Linear de Drenagem - DR 03/03</t>
  </si>
  <si>
    <t>DENSIDADE</t>
  </si>
  <si>
    <t>5.6</t>
  </si>
  <si>
    <t>Caixa de passagem para tubos de D-&gt;0,60m</t>
  </si>
  <si>
    <t>Linear de Drenagem - DR 02/03</t>
  </si>
  <si>
    <t>Linear de Drenagem - 01/01</t>
  </si>
  <si>
    <t>5.9</t>
  </si>
  <si>
    <t>Canaleta com grelha DP-1</t>
  </si>
  <si>
    <t>6.4.6</t>
  </si>
  <si>
    <t>Tela laranja (Proteção - Execução de calçada)</t>
  </si>
  <si>
    <t>Tela laranja (Proteção - Colocação meio fio e execuçao de pavimentação)</t>
  </si>
  <si>
    <t>Tela laranja (Proteção - Calçada provisória)</t>
  </si>
  <si>
    <t>Tela laranja</t>
  </si>
  <si>
    <t>Linear Pavimentação - PAV 03/04</t>
  </si>
  <si>
    <t>Calçada</t>
  </si>
  <si>
    <t>Linear Pavimentação - PAV 04/04</t>
  </si>
  <si>
    <t>Calçada passarela canteiro central</t>
  </si>
  <si>
    <t>Calçada (Canteiro Central)</t>
  </si>
  <si>
    <t xml:space="preserve">Calçada </t>
  </si>
  <si>
    <t>7.2</t>
  </si>
  <si>
    <t>Grama canteiro ciclovia</t>
  </si>
  <si>
    <t>Grama canteiro central</t>
  </si>
  <si>
    <t>7.6</t>
  </si>
  <si>
    <t>7.7</t>
  </si>
  <si>
    <t>Meio fio calçada</t>
  </si>
  <si>
    <t>Meio fio canteiro central</t>
  </si>
  <si>
    <t>Ud</t>
  </si>
  <si>
    <t>9.14</t>
  </si>
  <si>
    <t>9.5</t>
  </si>
  <si>
    <t>9.4</t>
  </si>
  <si>
    <t>9.3</t>
  </si>
  <si>
    <t>9.2</t>
  </si>
  <si>
    <t>7.28</t>
  </si>
  <si>
    <t>7.13</t>
  </si>
  <si>
    <t>7.10</t>
  </si>
  <si>
    <t>7.9</t>
  </si>
  <si>
    <t>7.8</t>
  </si>
  <si>
    <t>5.12</t>
  </si>
  <si>
    <r>
      <t xml:space="preserve">EMPREITEIRA:  </t>
    </r>
    <r>
      <rPr>
        <sz val="12"/>
        <rFont val="Calibri"/>
        <family val="2"/>
        <scheme val="minor"/>
      </rPr>
      <t>Cinco Estrelas Construtora e Incorporadora Ltda</t>
    </r>
  </si>
  <si>
    <r>
      <t xml:space="preserve">CONTRATO Nº: </t>
    </r>
    <r>
      <rPr>
        <sz val="12"/>
        <rFont val="Calibri"/>
        <family val="2"/>
        <scheme val="minor"/>
      </rPr>
      <t>001/2019</t>
    </r>
  </si>
  <si>
    <r>
      <t xml:space="preserve">ASSINATURA: </t>
    </r>
    <r>
      <rPr>
        <sz val="12"/>
        <rFont val="Calibri"/>
        <family val="2"/>
        <scheme val="minor"/>
      </rPr>
      <t>11/06/2019</t>
    </r>
  </si>
  <si>
    <r>
      <t xml:space="preserve">INICIO DOS SERVIÇOS: </t>
    </r>
    <r>
      <rPr>
        <sz val="12"/>
        <rFont val="Calibri"/>
        <family val="2"/>
        <scheme val="minor"/>
      </rPr>
      <t>15/07/2019</t>
    </r>
  </si>
  <si>
    <t>SUPERVISORA</t>
  </si>
  <si>
    <r>
      <rPr>
        <b/>
        <sz val="12"/>
        <rFont val="Calibri"/>
        <family val="2"/>
        <scheme val="minor"/>
      </rPr>
      <t>CONTRATO N°:</t>
    </r>
    <r>
      <rPr>
        <sz val="12"/>
        <rFont val="Calibri"/>
        <family val="2"/>
        <scheme val="minor"/>
      </rPr>
      <t xml:space="preserve">  009/2017</t>
    </r>
  </si>
  <si>
    <r>
      <t xml:space="preserve">ASSINATURA: </t>
    </r>
    <r>
      <rPr>
        <sz val="12"/>
        <rFont val="Calibri"/>
        <family val="2"/>
        <scheme val="minor"/>
      </rPr>
      <t>30/06/2017</t>
    </r>
  </si>
  <si>
    <r>
      <t xml:space="preserve">INÍCIO DOS SERVIÇOS: </t>
    </r>
    <r>
      <rPr>
        <sz val="12"/>
        <rFont val="Calibri"/>
        <family val="2"/>
        <scheme val="minor"/>
      </rPr>
      <t>04/07/2017</t>
    </r>
  </si>
  <si>
    <t>Escavação Mat. 1ª  Cat. p/ alargamento da pista p/ BF</t>
  </si>
  <si>
    <t>Escavação Galeria BSCC 2,50x2,50m</t>
  </si>
  <si>
    <t>Remoção de meio fio calçada</t>
  </si>
  <si>
    <t>Demolição calçada</t>
  </si>
  <si>
    <t>Remoção de meio fio canteiro central</t>
  </si>
  <si>
    <t>Croqui em anexo</t>
  </si>
  <si>
    <t>Alargamento de pista provisório</t>
  </si>
  <si>
    <t>Croqui em Anexo</t>
  </si>
  <si>
    <t>Remoção de meio fio canteiro desvio de trafego</t>
  </si>
  <si>
    <t>Demoilição calçada canteiro desvio de trafego</t>
  </si>
  <si>
    <t>Escavação Mat. 1ª  Cat. Canteiro desvio trafego p/ BF</t>
  </si>
  <si>
    <t>Grama canteiro lateral</t>
  </si>
  <si>
    <t xml:space="preserve">Regularização canteiro desvio trafego </t>
  </si>
  <si>
    <t xml:space="preserve">Base canteiro desvio trafego </t>
  </si>
  <si>
    <r>
      <rPr>
        <b/>
        <sz val="12"/>
        <rFont val="Arial"/>
        <family val="2"/>
      </rPr>
      <t>GOVERNO DO ESTADO DO ESPÍRITO SANTO.</t>
    </r>
    <r>
      <rPr>
        <sz val="12"/>
        <rFont val="Arial"/>
        <family val="2"/>
      </rPr>
      <t xml:space="preserve">
Secretaria do Estado de Mobilidade e Infraestrutura- SEMOBI.
Departamento de Estradas de Rodagem do Estado do Espírito Santo - DER-ES.
</t>
    </r>
    <r>
      <rPr>
        <b/>
        <sz val="12"/>
        <rFont val="Arial"/>
        <family val="2"/>
      </rPr>
      <t>Superintendência Regional de Empreendimentos Urbanos - SR-U.</t>
    </r>
    <r>
      <rPr>
        <sz val="10"/>
        <rFont val="Arial"/>
        <family val="2"/>
      </rPr>
      <t xml:space="preserve">
</t>
    </r>
  </si>
  <si>
    <t>Remanejamento luminária canteiro central</t>
  </si>
  <si>
    <t>EXLD</t>
  </si>
  <si>
    <t>EXLE</t>
  </si>
  <si>
    <t>Remoção de meio fio canteiro</t>
  </si>
  <si>
    <t>Demolição canteiro central</t>
  </si>
  <si>
    <t>Demolição base de concreto (drenagem existente)</t>
  </si>
  <si>
    <t>DENSIDADE (t/m³)</t>
  </si>
  <si>
    <t>LARGURA     (m)</t>
  </si>
  <si>
    <t>VOLUME     (m³)</t>
  </si>
  <si>
    <t>LARGURA    (m)</t>
  </si>
  <si>
    <t>VOLUME    (m³)</t>
  </si>
  <si>
    <t>1ª Ordem de Paralisação:</t>
  </si>
  <si>
    <t>1ª Ordem de Reinicio:</t>
  </si>
  <si>
    <t>Obras Complementares  - OC 01/01</t>
  </si>
  <si>
    <t>Iluminação Pública - ILP 01/01</t>
  </si>
  <si>
    <t>PROF. (m)</t>
  </si>
  <si>
    <t>ÁREA (m²)</t>
  </si>
  <si>
    <t xml:space="preserve">Remoção de borrachudo - Pista </t>
  </si>
  <si>
    <t>Seções e Folha Cubação Anexo</t>
  </si>
  <si>
    <t>DMT (m)</t>
  </si>
  <si>
    <t>PROF.         (m)</t>
  </si>
  <si>
    <t>ÁREA         (m²)</t>
  </si>
  <si>
    <t>EXTENSÃO    (m)</t>
  </si>
  <si>
    <t>1º ADITAMENTO DO CONTRATO</t>
  </si>
  <si>
    <t>2º ADITAMENTO DO CONTRATO</t>
  </si>
  <si>
    <t>3º ADITAMENTO DO CONTRATO</t>
  </si>
  <si>
    <t xml:space="preserve">OBS.: </t>
  </si>
  <si>
    <t xml:space="preserve">PERÍODO </t>
  </si>
  <si>
    <t>QUANT.      DIAS</t>
  </si>
  <si>
    <t>VALORES R$</t>
  </si>
  <si>
    <t xml:space="preserve">SALDO DO PRAZO CONTRATUAL  (Dias)                            </t>
  </si>
  <si>
    <t>AVANÇO FINANCEIRO PI (%)</t>
  </si>
  <si>
    <t>P.I</t>
  </si>
  <si>
    <t>P.I ACUMULADO</t>
  </si>
  <si>
    <t xml:space="preserve">SALDO DO CONTRATO </t>
  </si>
  <si>
    <t>Reajust.</t>
  </si>
  <si>
    <t>PI + R</t>
  </si>
  <si>
    <t>ACUMULADO</t>
  </si>
  <si>
    <t xml:space="preserve">INFORMAÇÕES PARA 3º REPLANILHAMENTO DO CONTRADO </t>
  </si>
  <si>
    <t>Valor para Aditamento do Contrato (R$)</t>
  </si>
  <si>
    <t>Percentual de Acréscimo sobre o Valor Inicial (%)</t>
  </si>
  <si>
    <t>Quantidade de Dias para Aditamento do Contrato (Dias)</t>
  </si>
  <si>
    <t>Novo Valor do Contrato após 3º Replanilhamento (R$)</t>
  </si>
  <si>
    <t>Novo Prazo Contratual após 3º Replanilhamento (Dias)</t>
  </si>
  <si>
    <t>ACUMULADO TOTAL</t>
  </si>
  <si>
    <t>Escavação de  mat. de 1ª cat - Anexo IV.28.1 - Empréstimo 03 (Obra Adequação - HGC) (Acumulado)</t>
  </si>
  <si>
    <t>Escavação de material de 1ª cat - Anexo IV.28.1 - Empréstimo 03 (Obra Adequação - HGC) (Acumulado)</t>
  </si>
  <si>
    <t>Corpo Aterro Ramo 100/1400</t>
  </si>
  <si>
    <t>Tubo</t>
  </si>
  <si>
    <t>Berço</t>
  </si>
  <si>
    <t>Área do Berço</t>
  </si>
  <si>
    <t>Espesura da Parede do Tubo</t>
  </si>
  <si>
    <t>Diâmetro do Tubo + Parede</t>
  </si>
  <si>
    <t>Área do Tubo</t>
  </si>
  <si>
    <t>Desconto do Tubo + Berço</t>
  </si>
  <si>
    <t>Escavação</t>
  </si>
  <si>
    <t>Reaterro</t>
  </si>
  <si>
    <t>Largura</t>
  </si>
  <si>
    <t>Altura</t>
  </si>
  <si>
    <t>Área</t>
  </si>
  <si>
    <t>Reaterro com Areia - Rede de Drenagem BSTC</t>
  </si>
  <si>
    <t>Corredor Leste Oeste, entre a BR-262 e Terminal Urbano de Campo Grande</t>
  </si>
  <si>
    <t>Implantação de Vias Urbanas - Corredor Leste Oeste (entre BR-262 e TCG)</t>
  </si>
  <si>
    <t>CONTRATO N°:  001/2019</t>
  </si>
  <si>
    <t>ASSINATURA: 11/06/2019</t>
  </si>
  <si>
    <t>INÍCIO DOS SERVIÇOS: 15/07/2019</t>
  </si>
  <si>
    <t>MATERIAL BETUMINOSO</t>
  </si>
  <si>
    <t>Emulsão RR-2C, fornecimento</t>
  </si>
  <si>
    <t>OBRAS PROVISÓRIAS</t>
  </si>
  <si>
    <t>ILUMINAÇÃO PUBLICA</t>
  </si>
  <si>
    <t>Item</t>
  </si>
  <si>
    <t>%R</t>
  </si>
  <si>
    <t>%P</t>
  </si>
  <si>
    <t>Valor</t>
  </si>
  <si>
    <t>R</t>
  </si>
  <si>
    <t>P</t>
  </si>
  <si>
    <t>RESUMO</t>
  </si>
  <si>
    <t>SEU</t>
  </si>
  <si>
    <t>Superintendência de Empreendimentos Urbanos</t>
  </si>
  <si>
    <t>EXECUTADO - COPIAR E COLAR VALOR</t>
  </si>
  <si>
    <t>ACM</t>
  </si>
  <si>
    <t>BONIFICAÇÃO SOBRE REMANEJAMENTO DE POSTES</t>
  </si>
  <si>
    <t>2ª Ordem de Paralisação:</t>
  </si>
  <si>
    <t>3ª Ordem de Paralisação:</t>
  </si>
  <si>
    <t>2ª Ordem de Reinicio:</t>
  </si>
  <si>
    <t>3ª Ordem de Reinicio:</t>
  </si>
  <si>
    <t>DADOS DO DESENVOLVIMENTO CONTRATUAL</t>
  </si>
  <si>
    <t>Supervisora:</t>
  </si>
  <si>
    <t>Janeiro / 2019</t>
  </si>
  <si>
    <t>Prazo Contratual:</t>
  </si>
  <si>
    <t>40 Meses (1221 Dias)</t>
  </si>
  <si>
    <t>Prestação de serviços especializados de engenharia consultiva para supervisão e apoio técnico das atividades de fiscalização técnica, ambiental e de regularidade trabalhista, fiscal e previdenciária das obras rodoviárias a serem executadas nas áreas sob jurisdição das Superintendências Executivas Regionais I, II, III (Norte e Sul) e Superintendência Executiva de Empreendimentos Urbanos do DER-ES, conforme condições, quantidades, exigências e especificações discriminadas nos projetos/Termo de Referência e estabelecidas no Edital, seus anexos e na proposta da Contratada. LOTE 5.</t>
  </si>
  <si>
    <t>Valor do Contrato:</t>
  </si>
  <si>
    <t>Inicial:</t>
  </si>
  <si>
    <t>002/2019</t>
  </si>
  <si>
    <t>Assinatura Contrato:</t>
  </si>
  <si>
    <t>Data Publicação Cont:</t>
  </si>
  <si>
    <t>Valor Contr. Inicial:</t>
  </si>
  <si>
    <t>3.   INFORMAÇÕES CONTRATUAIS</t>
  </si>
  <si>
    <t>3.2.   EMPREITEIRA</t>
  </si>
  <si>
    <t>6.   RELAÇÃO DE EQUIPAMENTOS DA EMPREITEIRA</t>
  </si>
  <si>
    <t>7.   CONTROLE PLUVIOMÉTRICO</t>
  </si>
  <si>
    <t>Atende</t>
  </si>
  <si>
    <t>Não Atende</t>
  </si>
  <si>
    <t>Não se Aplica</t>
  </si>
  <si>
    <t>Observação</t>
  </si>
  <si>
    <r>
      <rPr>
        <b/>
        <sz val="12"/>
        <color theme="1"/>
        <rFont val="Arial"/>
        <family val="2"/>
      </rPr>
      <t>a.</t>
    </r>
    <r>
      <rPr>
        <sz val="12"/>
        <color theme="1"/>
        <rFont val="Arial"/>
        <family val="2"/>
      </rPr>
      <t xml:space="preserve"> A quantificação e o orçamento dos serviços realizados no período, de acordo com a planilha orçamentária do contrato;</t>
    </r>
  </si>
  <si>
    <t>X</t>
  </si>
  <si>
    <t>Sem observações.</t>
  </si>
  <si>
    <r>
      <rPr>
        <b/>
        <sz val="12"/>
        <color theme="1"/>
        <rFont val="Arial"/>
        <family val="2"/>
      </rPr>
      <t>a.</t>
    </r>
    <r>
      <rPr>
        <sz val="12"/>
        <color theme="1"/>
        <rFont val="Arial"/>
        <family val="2"/>
      </rPr>
      <t xml:space="preserve"> Verificação da efetividade dos procedimentos de Segurança, Meio Ambiente e Medicina do Trabalho;</t>
    </r>
  </si>
  <si>
    <r>
      <rPr>
        <b/>
        <sz val="12"/>
        <color theme="1"/>
        <rFont val="Arial"/>
        <family val="2"/>
      </rPr>
      <t>b.</t>
    </r>
    <r>
      <rPr>
        <sz val="12"/>
        <color theme="1"/>
        <rFont val="Arial"/>
        <family val="2"/>
      </rPr>
      <t xml:space="preserve"> Registro das ações desenvolvidas pela executante, quanto os procedimentos de higiene e segurança no trabalho, a juízo da fiscalização, e em conformidade com as normas técnicas vigentes, podem ser consideradas ações adequadas, inadequadas ou parcialmente adequadas;</t>
    </r>
  </si>
  <si>
    <r>
      <rPr>
        <b/>
        <sz val="12"/>
        <color theme="1"/>
        <rFont val="Arial"/>
        <family val="2"/>
      </rPr>
      <t>c.</t>
    </r>
    <r>
      <rPr>
        <sz val="12"/>
        <color theme="1"/>
        <rFont val="Arial"/>
        <family val="2"/>
      </rPr>
      <t xml:space="preserve"> No caso das ações de higiene e segurança no trabalho serem consideradas pela fiscalização “inadequadas”, deve ser suspensa a
execução do serviço com defeito ou vício até o completo saneamento das irregularidades;</t>
    </r>
  </si>
  <si>
    <r>
      <rPr>
        <b/>
        <sz val="12"/>
        <color theme="1"/>
        <rFont val="Arial"/>
        <family val="2"/>
      </rPr>
      <t xml:space="preserve">d. </t>
    </r>
    <r>
      <rPr>
        <sz val="12"/>
        <color theme="1"/>
        <rFont val="Arial"/>
        <family val="2"/>
      </rPr>
      <t>No caso das ações de higiene e segurança no trabalho serem consideradas como “parcialmente adequadas”, após consulta aos profissionais habilitados do DER-ES, deve ser definido prazo limite para sua completa conformidade;</t>
    </r>
  </si>
  <si>
    <r>
      <t>e.</t>
    </r>
    <r>
      <rPr>
        <sz val="12"/>
        <color theme="1"/>
        <rFont val="Arial"/>
        <family val="2"/>
      </rPr>
      <t xml:space="preserve"> Verificação do cumprimento de convenções ou acordos coletivos de trabalho conforme disposto no § 1º do Artigo 611 da Consolidação das Leis do Trabalho
(CLT);</t>
    </r>
  </si>
  <si>
    <r>
      <t xml:space="preserve">f. </t>
    </r>
    <r>
      <rPr>
        <sz val="12"/>
        <color theme="1"/>
        <rFont val="Arial"/>
        <family val="2"/>
      </rPr>
      <t>Verificação do cumprimento das demais obrigações trabalhistas, previdenciárias e fiscais;</t>
    </r>
  </si>
  <si>
    <r>
      <rPr>
        <b/>
        <sz val="12"/>
        <color theme="1"/>
        <rFont val="Arial"/>
        <family val="2"/>
      </rPr>
      <t>g.</t>
    </r>
    <r>
      <rPr>
        <sz val="12"/>
        <color theme="1"/>
        <rFont val="Arial"/>
        <family val="2"/>
      </rPr>
      <t xml:space="preserve"> Informação, através do preenchimento da Declaração dos Documentos Digitalizados, conforme IS Nº 003-N do DER-ES, da condição do conteúdo dos documentos de medição, sendo “aprovado”, “não aprovado” ou “documento faltante”;</t>
    </r>
  </si>
  <si>
    <t>ITEM ANALISADO</t>
  </si>
  <si>
    <t>PARECER</t>
  </si>
  <si>
    <t>AVALIAÇÃO TÉCNICA/PONTOS OBSERVADOS</t>
  </si>
  <si>
    <t>RECOMENDAÇÕES</t>
  </si>
  <si>
    <t>A</t>
  </si>
  <si>
    <t>PA</t>
  </si>
  <si>
    <t>NSA</t>
  </si>
  <si>
    <t>Sem Recomendações</t>
  </si>
  <si>
    <t>6 - Os serviços executados em eletricidade obedecem os requisitos mínimos de segurança estabelecidos na NR 10</t>
  </si>
  <si>
    <t>Sem Comentários</t>
  </si>
  <si>
    <t>8 - Existem medidas de proteção para garantir a saúde e a integridade física dos trabalhadores, estabelecendo requisitos mínimos para a prevenção de acidentes e doenças do trabalho, nas fases de projeto e de utilização de máquinas e equipamentos de todos os tipos, de acordo com a NR 12</t>
  </si>
  <si>
    <t>9 - Verificação da NR 15 no que tange as Atividades e Operações Insalubres referentes aos riscos físicos, químicos e biológicos</t>
  </si>
  <si>
    <t>10 - Análise ergonômica do trabalho, sendo abordado ou estabelecido na NR 17, proporcionando o máximo de conforto, segurança e desempenho eficiente</t>
  </si>
  <si>
    <t>11 - Elaboração do PCMAT de acordo com o subitem 18.3 da NR 18</t>
  </si>
  <si>
    <t>13 - Em caso de demolição é respeitado o disposto no subitem 18.5 da NR 18</t>
  </si>
  <si>
    <t>16 - Em caso de atividades de carpintaria, é respeitado o disposto no subitem 18.7 da NR 18</t>
  </si>
  <si>
    <t>17 - Em caso de manuseio de armações de aço, é respeitado o disposto no subitem 18.8 da NR 18</t>
  </si>
  <si>
    <t>18 - Em caso de produção de estruturas de concreto, é respeitado o disposto no subitem 18.9 da NR 18</t>
  </si>
  <si>
    <t>19 - Em caso de estruturas metálicas, é respeitado o disposto no subitem 18.10 da NR 18</t>
  </si>
  <si>
    <t>20 - Em caso de operações de soldagem e corte a quente, é respeitado o disposto no subitem 18.11 da NR 18</t>
  </si>
  <si>
    <t>22 - Em caso de utilização de andaimes e plataformas de trabalho, é respeitado o disposto no subitem 18.15 da NR 18</t>
  </si>
  <si>
    <t>23 - Em caso das condições de utilização dos cabos de aço e cabos de fibra sintética, é respeitado o disposto no subitem 18.16 da NR 18</t>
  </si>
  <si>
    <t>24 - Em caso de serviços em flutuantes, é respeitado o disposto no subitem 18.19 da NR 18</t>
  </si>
  <si>
    <t>25 - O transporte coletivo de trabalhadores em veículos automotores dentro do canteiro ou fora dele, obedece o disposto no subitem 18.25</t>
  </si>
  <si>
    <t>26 - O canteiro de obras está sinalizado conforme o disposto no subitem 18.27 da NR 18 (sinalização de segurança)</t>
  </si>
  <si>
    <t>27 - Realização de treinamento de acordo com o subitem 18.28 da NR 18</t>
  </si>
  <si>
    <t>28 - Nos trabalhos realizados a céu aberto, são adotadas as medidas contidas na NR 21</t>
  </si>
  <si>
    <t>29 - São adotadas medidas de prevenção de incêndio, em conformidade com a legislação estadual e as normas técnicas aplicadas (NR 23, NBR 14276/2005)</t>
  </si>
  <si>
    <t>30 - São estabelecidos requisitos mínimos para identificação de espaços confinados e o reconhecimento, avaliação, monitoramento e controle dos riscos existentes, garantindo permanentemente a segurança e a saúde dos trabalhadores que interagem direta ou indiretamente nestes espaços, segundo NR 33</t>
  </si>
  <si>
    <t>31 - Existem medidas de proteção para trabalho em altura envolvendo planejamento, organização e execução de forma a garantir a segurança e a saúde do trabalhador envolvido direta ou indiretamente nesta atividade, conforme NR 35</t>
  </si>
  <si>
    <t>33 - São adotadas as medidas de segurança na execução de Pavimentação de Vias Urbanas</t>
  </si>
  <si>
    <t>35 - Sinalização de Segurança Pública</t>
  </si>
  <si>
    <t>PARECER CONCLUSIVO</t>
  </si>
  <si>
    <t>OBSERVAÇÕES</t>
  </si>
  <si>
    <t>INSPEÇÃO</t>
  </si>
  <si>
    <t xml:space="preserve">SIM </t>
  </si>
  <si>
    <t>NÃO</t>
  </si>
  <si>
    <t>Responsável Técnico:</t>
  </si>
  <si>
    <t>Inspeção Realizada</t>
  </si>
  <si>
    <t>1</t>
  </si>
  <si>
    <t xml:space="preserve">EMPREITEIRA: </t>
  </si>
  <si>
    <t>CONTRATO N°:</t>
  </si>
  <si>
    <t xml:space="preserve">DESCRIÇÃO: </t>
  </si>
  <si>
    <t xml:space="preserve">TRECHO:  </t>
  </si>
  <si>
    <t>ASSINATURA:</t>
  </si>
  <si>
    <t xml:space="preserve">CONTR.  N°.: </t>
  </si>
  <si>
    <t>GOVERNO DO ESTADO DO ESPÍRITO SANTO
Secretaria de Estado de Saneamento, Habitação e Desenvolvimento Urbano - SEDURB
Departamento de Edificações e de Rodovias do Espírito Santo - DER-ES</t>
  </si>
  <si>
    <t>1.1.1</t>
  </si>
  <si>
    <t>1.1.2</t>
  </si>
  <si>
    <t>1.2</t>
  </si>
  <si>
    <t>1.2.1</t>
  </si>
  <si>
    <t>2.1</t>
  </si>
  <si>
    <t>1.1</t>
  </si>
  <si>
    <t>6,30 X 10,42
sem borda
1 p/ direita + 1 p/ baixo</t>
  </si>
  <si>
    <t>6,30 X10,42
sem borda
1 p/ direita + 1 p/ baixo</t>
  </si>
  <si>
    <t xml:space="preserve">TOTAIS    </t>
  </si>
  <si>
    <r>
      <rPr>
        <b/>
        <sz val="12"/>
        <color theme="1"/>
        <rFont val="Arial"/>
        <family val="2"/>
      </rPr>
      <t>b.</t>
    </r>
    <r>
      <rPr>
        <sz val="12"/>
        <color theme="1"/>
        <rFont val="Arial"/>
        <family val="2"/>
      </rPr>
      <t xml:space="preserve"> Memória de cálculo de cada quantidade, através planilhas de cálculos de áreas de forma, volumes de concreto, pesos de aço, sondagens e Classificação de materiais escavados, fichas de controle de escavação de estacas etc;</t>
    </r>
  </si>
  <si>
    <r>
      <rPr>
        <b/>
        <sz val="12"/>
        <color theme="1"/>
        <rFont val="Arial"/>
        <family val="2"/>
      </rPr>
      <t>c.</t>
    </r>
    <r>
      <rPr>
        <sz val="12"/>
        <color theme="1"/>
        <rFont val="Arial"/>
        <family val="2"/>
      </rPr>
      <t xml:space="preserve"> Resultados de ensaios de resistência dos materiais (concreto e aço);</t>
    </r>
  </si>
  <si>
    <r>
      <rPr>
        <b/>
        <sz val="12"/>
        <color theme="1"/>
        <rFont val="Arial"/>
        <family val="2"/>
      </rPr>
      <t xml:space="preserve">d. </t>
    </r>
    <r>
      <rPr>
        <sz val="12"/>
        <color theme="1"/>
        <rFont val="Arial"/>
        <family val="2"/>
      </rPr>
      <t>Relatório fotográfico com registro georreferenciado dos serviços executados no período da medição;</t>
    </r>
  </si>
  <si>
    <r>
      <rPr>
        <b/>
        <sz val="12"/>
        <color theme="1"/>
        <rFont val="Arial"/>
        <family val="2"/>
      </rPr>
      <t xml:space="preserve">e. </t>
    </r>
    <r>
      <rPr>
        <sz val="12"/>
        <color theme="1"/>
        <rFont val="Arial"/>
        <family val="2"/>
      </rPr>
      <t>Relatórios de batimetria, quando for o caso;</t>
    </r>
  </si>
  <si>
    <r>
      <rPr>
        <b/>
        <sz val="12"/>
        <color theme="1"/>
        <rFont val="Arial"/>
        <family val="2"/>
      </rPr>
      <t xml:space="preserve">f. </t>
    </r>
    <r>
      <rPr>
        <sz val="12"/>
        <color theme="1"/>
        <rFont val="Arial"/>
        <family val="2"/>
      </rPr>
      <t>Apropriação de transporte, através de contagem e cubagem de caminhões.</t>
    </r>
  </si>
  <si>
    <r>
      <rPr>
        <b/>
        <sz val="12"/>
        <color theme="1"/>
        <rFont val="Arial"/>
        <family val="2"/>
      </rPr>
      <t>g.</t>
    </r>
    <r>
      <rPr>
        <sz val="12"/>
        <color theme="1"/>
        <rFont val="Arial"/>
        <family val="2"/>
      </rPr>
      <t xml:space="preserve"> Informações para aplicação da Norma para Avaliação de Desempenho na Execução de Obras e Serviços de Engenharia Nº DER-ES CR 129/2018;</t>
    </r>
  </si>
  <si>
    <r>
      <rPr>
        <b/>
        <sz val="12"/>
        <color theme="1"/>
        <rFont val="Arial"/>
        <family val="2"/>
      </rPr>
      <t xml:space="preserve">h. </t>
    </r>
    <r>
      <rPr>
        <sz val="12"/>
        <color theme="1"/>
        <rFont val="Arial"/>
        <family val="2"/>
      </rPr>
      <t>Informações tabuladas para alimentação do GEO-OBRAS;</t>
    </r>
  </si>
  <si>
    <r>
      <rPr>
        <b/>
        <sz val="12"/>
        <color theme="1"/>
        <rFont val="Arial"/>
        <family val="2"/>
      </rPr>
      <t>i.</t>
    </r>
    <r>
      <rPr>
        <sz val="12"/>
        <color theme="1"/>
        <rFont val="Arial"/>
        <family val="2"/>
      </rPr>
      <t xml:space="preserve"> Coletânea de documentos que devem acompanhar a medição de serviço, segundo instrução do DER-ES.</t>
    </r>
  </si>
  <si>
    <t>NSA=NÃO SE APLICA</t>
  </si>
  <si>
    <t>0 = impraticavel</t>
  </si>
  <si>
    <t>1 = praticavel</t>
  </si>
  <si>
    <t>REF.</t>
  </si>
  <si>
    <t>OBRA</t>
  </si>
  <si>
    <t>011/2021</t>
  </si>
  <si>
    <t>Topógrafo</t>
  </si>
  <si>
    <t>Encarregado</t>
  </si>
  <si>
    <t>Licença de Instalação:</t>
  </si>
  <si>
    <t>Licença Prévia:</t>
  </si>
  <si>
    <t>3.1.   SUPERVISORA</t>
  </si>
  <si>
    <t>EMPREITEIRA</t>
  </si>
  <si>
    <r>
      <t xml:space="preserve">TRECHO: </t>
    </r>
    <r>
      <rPr>
        <sz val="11"/>
        <rFont val="Arial"/>
        <family val="2"/>
      </rPr>
      <t xml:space="preserve"> </t>
    </r>
  </si>
  <si>
    <t xml:space="preserve">ASSINATURA: </t>
  </si>
  <si>
    <t>INÍCIO SERVIÇO:</t>
  </si>
  <si>
    <t>PLANILHA FINANCEIRA</t>
  </si>
  <si>
    <t>SERVIÇO</t>
  </si>
  <si>
    <t>und.</t>
  </si>
  <si>
    <t>CONTRATUAL</t>
  </si>
  <si>
    <t>Referência</t>
  </si>
  <si>
    <t>PREÇO UNIT.</t>
  </si>
  <si>
    <t>1.1.3</t>
  </si>
  <si>
    <t>1.1.4</t>
  </si>
  <si>
    <t>1.1.5</t>
  </si>
  <si>
    <t>1.2.2</t>
  </si>
  <si>
    <t>MEMÓRIA DE CÁLCULO DE QUANTIDADES</t>
  </si>
  <si>
    <t>h</t>
  </si>
  <si>
    <t>kg</t>
  </si>
  <si>
    <t>012/2021</t>
  </si>
  <si>
    <t>ADMINISTRAÇÃO E CANTEIRO</t>
  </si>
  <si>
    <t>1.1.6</t>
  </si>
  <si>
    <t>1.1.7</t>
  </si>
  <si>
    <t>Rede de água com padrão de entrada d'água diâm. 3/4", conf. espec. CESAN, incl. tubos e conexões para alimentação, distribuição, extravasor e limpeza, cons. o padrão a 25m, conf. projeto (1 utilização)</t>
  </si>
  <si>
    <t>Rede de esgoto, contendo fossa e filtro, inclusive tubos e conexões de ligação entre caixas, considerando distância de 25m, conforme projeto (1 utilização)</t>
  </si>
  <si>
    <t>Rede de luz, incl. padrão entrada de energia trifás., cabo de ligação até barracões, quadro de distrib., disj. e chave de força (quando necessário), cons. 20m entre padrão entrada e QDG, conf. projeto (1 utilização)</t>
  </si>
  <si>
    <t>Reservatório de poliestileno de 1000 L, incl. suporte em madeira de 7x12cm e 8x7cm, elevado de 4m, conf. projeto (1 utilização)</t>
  </si>
  <si>
    <t>Placa de obra nas dimensões de 2.0 x 4.0 m, padrão IOPES</t>
  </si>
  <si>
    <t>Placa para inauguração de obra em alumínio polido e=4mm, dimensões 40 x 50 cm, gravação em baixo relevo, inclusive pintura e fixação</t>
  </si>
  <si>
    <t>1.2.3</t>
  </si>
  <si>
    <t>1.2.4</t>
  </si>
  <si>
    <t>1.2.5</t>
  </si>
  <si>
    <t>S020712</t>
  </si>
  <si>
    <t>S020714</t>
  </si>
  <si>
    <t>S020713</t>
  </si>
  <si>
    <t>S020711</t>
  </si>
  <si>
    <t>S020350</t>
  </si>
  <si>
    <t>S020305</t>
  </si>
  <si>
    <t>S200576</t>
  </si>
  <si>
    <t>S020344</t>
  </si>
  <si>
    <t>S020353</t>
  </si>
  <si>
    <t>S020355</t>
  </si>
  <si>
    <t>S020352</t>
  </si>
  <si>
    <t>S020356</t>
  </si>
  <si>
    <t>Aluguel mensal container sanitário, incl porta, básc, 2 ptos luz, 1 pto aterram., 3vasos, 3lavatórios, calha mictório, 6 chuveiros (1 eletrico), torn.,registros, piso comp. Naval pintado, cert NR18 e laudo descontaminação</t>
  </si>
  <si>
    <t>Aluguel mensal container para escritório, dim. 6.00x2.40m, c/ banheiro (vaso+lavat+chuveiro e básc), incl. porta, 2 janelas, abert p/ ar cond., 2 pt iluminação, 2 tom. elét. e 1 tom.telef. Isolam.térmico(teto e paredes), piso em comp. Naval, cert. NR18, incl. laudo descontaminação.</t>
  </si>
  <si>
    <t>Aluguel mensal container para almoxarifado, incl. porta, 2 janelas, 1 pt iluminação, Isolamento térmico (teto), piso em comp. Naval pintado, cert. NR18, incl. laudo descontaminação.</t>
  </si>
  <si>
    <t>SUB-TOTAL - 1 - ADMINISTRAÇÃO E CANTEIRO</t>
  </si>
  <si>
    <t>2.2</t>
  </si>
  <si>
    <t>TERRAPLANAGEM E PAVIMENTAÇÃO</t>
  </si>
  <si>
    <t>2.1.1</t>
  </si>
  <si>
    <t>2.1.2</t>
  </si>
  <si>
    <t>2.1.3</t>
  </si>
  <si>
    <t>2.1.4</t>
  </si>
  <si>
    <t>2.1.5</t>
  </si>
  <si>
    <t>2.1.6</t>
  </si>
  <si>
    <t>2.1.7</t>
  </si>
  <si>
    <t>2.1.8</t>
  </si>
  <si>
    <t>2.1.9</t>
  </si>
  <si>
    <t>2.1.10</t>
  </si>
  <si>
    <t>2.1.11</t>
  </si>
  <si>
    <t>2.1.12</t>
  </si>
  <si>
    <t>5503041</t>
  </si>
  <si>
    <t>42045</t>
  </si>
  <si>
    <t>60024</t>
  </si>
  <si>
    <t>4011549</t>
  </si>
  <si>
    <t>101196</t>
  </si>
  <si>
    <t>95995</t>
  </si>
  <si>
    <t>COMP-645387</t>
  </si>
  <si>
    <t>5914336</t>
  </si>
  <si>
    <t>4011352</t>
  </si>
  <si>
    <t>I070114</t>
  </si>
  <si>
    <t>Compactação de aterros a 100% do Proctor intermediário</t>
  </si>
  <si>
    <t>Base ou sub-base de brita graduada executada com vibroacabadora - brita comercial</t>
  </si>
  <si>
    <t>Imprimação com emulsão asfáltica</t>
  </si>
  <si>
    <t>DRENAGEM PLUVIAL</t>
  </si>
  <si>
    <t>2.2.1</t>
  </si>
  <si>
    <t>2.2.2</t>
  </si>
  <si>
    <t>2.2.3</t>
  </si>
  <si>
    <t>2.2.4</t>
  </si>
  <si>
    <t>2.2.5</t>
  </si>
  <si>
    <t>2003680</t>
  </si>
  <si>
    <t>CP-5199-83627</t>
  </si>
  <si>
    <t>Poço de visita - PVI 02 - areia e brita comerciais</t>
  </si>
  <si>
    <t>2.3</t>
  </si>
  <si>
    <t>2.3.1</t>
  </si>
  <si>
    <t>2.4</t>
  </si>
  <si>
    <t>2.4.1</t>
  </si>
  <si>
    <t>2.4.2</t>
  </si>
  <si>
    <t>2.4.3</t>
  </si>
  <si>
    <t>2.5</t>
  </si>
  <si>
    <t>1600436</t>
  </si>
  <si>
    <t>40867</t>
  </si>
  <si>
    <t>S030304</t>
  </si>
  <si>
    <t>2.5.1</t>
  </si>
  <si>
    <t>2.5.2</t>
  </si>
  <si>
    <t>2.5.3</t>
  </si>
  <si>
    <t>2.5.4</t>
  </si>
  <si>
    <t>2.5.5</t>
  </si>
  <si>
    <t>2.5.6</t>
  </si>
  <si>
    <t>2.5.7</t>
  </si>
  <si>
    <t>Demolição e remoção de pavimento asfáltico</t>
  </si>
  <si>
    <t>ESTRUTURA</t>
  </si>
  <si>
    <t>1107890</t>
  </si>
  <si>
    <t>00025950</t>
  </si>
  <si>
    <t>96541</t>
  </si>
  <si>
    <t>1106057</t>
  </si>
  <si>
    <t>100322</t>
  </si>
  <si>
    <t>0407820</t>
  </si>
  <si>
    <t>0407819</t>
  </si>
  <si>
    <t>2003864</t>
  </si>
  <si>
    <t>CP-3762-S160326</t>
  </si>
  <si>
    <t>Concreto fck = 30 MPa - confecção em central dosadora de 30 m³/h - areia e brita comerciais</t>
  </si>
  <si>
    <t>Concreto magro - confecção em betoneira e lançamento manual - areia e brita comerciais</t>
  </si>
  <si>
    <t>Armação em aço CA-60 - fornecimento, preparo e colocação</t>
  </si>
  <si>
    <t>Armação em aço CA-50 - fornecimento, preparo e colocação</t>
  </si>
  <si>
    <t>Esgotamento de água com bomba submersa</t>
  </si>
  <si>
    <t>4805757</t>
  </si>
  <si>
    <t>Escavação mecânica de vala em material de 1ª categoria</t>
  </si>
  <si>
    <t>0804015</t>
  </si>
  <si>
    <t>Corpo de BSTC D = 0,40 m CA2 - areia, brita e pedra de mão comerciais</t>
  </si>
  <si>
    <t>CESAN 7050100030</t>
  </si>
  <si>
    <t>ALTURA (m)</t>
  </si>
  <si>
    <t>ALTURA(m)</t>
  </si>
  <si>
    <t>PESO</t>
  </si>
  <si>
    <t>Motorista</t>
  </si>
  <si>
    <t>Engenheiro</t>
  </si>
  <si>
    <t>Retroescavadeira</t>
  </si>
  <si>
    <t>5.   RELAÇÃO DE PESSOAL DA EMPREITEIRA</t>
  </si>
  <si>
    <t xml:space="preserve">9.1   CRONOGRAMA </t>
  </si>
  <si>
    <t>9.2   CURVA DE PROGRESSO FINANCEIRO DA OBRA</t>
  </si>
  <si>
    <t>8.   RELATÓRIO FOTOGRÁFICO</t>
  </si>
  <si>
    <t>10.   EVOLUÇÃO FINANCEIRA DO CONTRATO</t>
  </si>
  <si>
    <t>12 - O canteiro de obra, dispõe dos requisitos mínimos estabelecidos no subitem 18.4 da NR 18</t>
  </si>
  <si>
    <t>A área de trabalho deve ser previamente limpa, devendo ser retirados ou escorados solidamente árvores, rochas, equipamentos, materiais e objetos de qualquer natureza, quando houver risco de comprometimento de sua estabilidade durante a execução de serviços.</t>
  </si>
  <si>
    <t>As operações em máquinas e equipamentos necessários à realização da atividade de carpintaria somente podem ser realizadas por trabalhador qualificado nos termos desta NR.</t>
  </si>
  <si>
    <t>A dobragem e o corte de vergalhões de aço em obra devem ser feitos sobre bancadas ou plataformas apropriadas e estáveis, apoiadas sobre superfícies resistentes, niveladas e não escorregadias, afastadas da área de circulação de trabalhadores.</t>
  </si>
  <si>
    <t>As armações de pilares, vigas e outras estruturas verticais devem ser apoiadas e escoradas para evitar tombamento e desmoronamento.</t>
  </si>
  <si>
    <t>É obrigatória a observância das condições de utilização, dimensionamento e conservação dos cabos de aço utilizados em obras de construção, conforme o disposto na norma técnica vigente NBR 6327/83 - Cabo de Aço/Usos Gerais da ABNT.</t>
  </si>
  <si>
    <t>1. Captação/abastecimento de água</t>
  </si>
  <si>
    <t>2. Rede de esgotos sanitários</t>
  </si>
  <si>
    <t>3. Disposição e destinação de resíduos sólidos urbanos</t>
  </si>
  <si>
    <t>4. Condições de segurança de produtos perigosos (tanques de combustíveis, lubrificantes, tintas, solventes, óleos etc.)</t>
  </si>
  <si>
    <t>Sem recomendações.</t>
  </si>
  <si>
    <t xml:space="preserve">5. Áreas sujeitas a empoçamentos </t>
  </si>
  <si>
    <t>6. Umectação das vias sujeitas à poeira</t>
  </si>
  <si>
    <t>Não foram observadas irregularidades na obra neste mês de referência.</t>
  </si>
  <si>
    <t>É importante que sempre seja realizada a cobertura da carroceria dos caminhões caçamba.</t>
  </si>
  <si>
    <t xml:space="preserve">Não foram observadas irregularidades na obra neste mês de referência. </t>
  </si>
  <si>
    <t xml:space="preserve">Caso haja alteração das atividades informadas na aquisição da licença ambiental, estas deverão ser informadas ao órgão ambiental competente, para providências cabíveis. </t>
  </si>
  <si>
    <t>Com base em Inspeção de Supervisão Técnica, quanto ao cumprimento de procedimentos</t>
  </si>
  <si>
    <t>Analisar as demais recomendações.</t>
  </si>
  <si>
    <t>15.2    VERIFICAÇÃO DO ATENDIMENTO AOS PROCEDIMENTOS AMBIENTAIS</t>
  </si>
  <si>
    <t>Avaliação Técnica descrita no item 15.2 deste relatório.</t>
  </si>
  <si>
    <t>Avaliação Técnica descrita no item 15.1.1 deste relatório.</t>
  </si>
  <si>
    <t>18.   CHECKLIST - ITENS MÍNIMOS A SEREM CONTEMPLADOS NO CMRF 03</t>
  </si>
  <si>
    <t>15.3   RELATÓRIO FOTOGRÁFICO - SEGURANÇA DO TRABALHO</t>
  </si>
  <si>
    <t>16.   CRONOGRAMA GERAL DAS INSPEÇÕES</t>
  </si>
  <si>
    <t>SEDURB</t>
  </si>
  <si>
    <t>VOLUME</t>
  </si>
  <si>
    <t>XP</t>
  </si>
  <si>
    <t>MOM. XP</t>
  </si>
  <si>
    <t>y</t>
  </si>
  <si>
    <t>XR</t>
  </si>
  <si>
    <t>MOM. XR</t>
  </si>
  <si>
    <t>(m³)</t>
  </si>
  <si>
    <t>(t)</t>
  </si>
  <si>
    <t>(km)</t>
  </si>
  <si>
    <t>XP x PESO</t>
  </si>
  <si>
    <t>t/m³</t>
  </si>
  <si>
    <t>XR x PESO</t>
  </si>
  <si>
    <t>D</t>
  </si>
  <si>
    <t>S</t>
  </si>
  <si>
    <t>ITENS 2.6.11 E 2.6.12 - ESGOTAMENTO E REBAIXAIMENTO</t>
  </si>
  <si>
    <t>ITENS 3.3.4 - RETIRADA MANUAL DE BLOCOS (BLOKRET)</t>
  </si>
  <si>
    <t>EVIDÊNCIAS COM FOTOS</t>
  </si>
  <si>
    <t>SE-U</t>
  </si>
  <si>
    <t>90 Dias</t>
  </si>
  <si>
    <t>Execução das Obras de Construção de Galerias</t>
  </si>
  <si>
    <r>
      <t xml:space="preserve">CONTRATO N°: </t>
    </r>
    <r>
      <rPr>
        <sz val="11"/>
        <rFont val="Arial"/>
        <family val="2"/>
      </rPr>
      <t>011/2011</t>
    </r>
  </si>
  <si>
    <r>
      <t xml:space="preserve">ASSINATURA: </t>
    </r>
    <r>
      <rPr>
        <sz val="11"/>
        <rFont val="Arial"/>
        <family val="2"/>
      </rPr>
      <t>04/02/2021</t>
    </r>
  </si>
  <si>
    <r>
      <t xml:space="preserve">INÍCIO SERVIÇO: </t>
    </r>
    <r>
      <rPr>
        <sz val="11"/>
        <rFont val="Arial"/>
        <family val="2"/>
      </rPr>
      <t>17/02/2021</t>
    </r>
  </si>
  <si>
    <t xml:space="preserve">
</t>
  </si>
  <si>
    <r>
      <t xml:space="preserve">DESCRIÇÃO: </t>
    </r>
    <r>
      <rPr>
        <sz val="12"/>
        <rFont val="Calibri"/>
        <family val="2"/>
        <scheme val="minor"/>
      </rPr>
      <t>Execução das Obras de Construção de Galerias</t>
    </r>
  </si>
  <si>
    <r>
      <t xml:space="preserve">DESCRIÇÃO: </t>
    </r>
    <r>
      <rPr>
        <sz val="14"/>
        <rFont val="Arial"/>
        <family val="2"/>
      </rPr>
      <t>Execução das Obras de Construção de Galerias</t>
    </r>
  </si>
  <si>
    <t>7 - Atendimento da NR 11, referente ao Transporte, Movimentação, Armazenagem e Manuseio de Materiais</t>
  </si>
  <si>
    <t xml:space="preserve"> Sem Comentários </t>
  </si>
  <si>
    <t xml:space="preserve"> AV. PEDRO GONÇALVES LARANJA</t>
  </si>
  <si>
    <t>ITEM 3.1.1 - ESCAVAÇÃO, CARGA E TRANSPORTE DE  MATERIAL DE 1ª CATEGORIA - GALERIA BSCC 3,00X2,00M</t>
  </si>
  <si>
    <t>ITEM 3.5.11 - ASSENTAMENTO DE GALERIA PRE- MOLDADO DE CONCRETO - GALERIA BSCC 3,00X2,00M</t>
  </si>
  <si>
    <t xml:space="preserve">Executado pela empresa Ônix, conforme verificado em vistoria. </t>
  </si>
  <si>
    <t>34 - Uso de uniformes</t>
  </si>
  <si>
    <t>Os treinamentos são ministrados de acordo com o cronograma de cada operação.</t>
  </si>
  <si>
    <t>O serviço de escavação, fundação e desmonte de rochas deve ser realizado e supervisionado conforme projeto elaborado por profissional legalmente habilitado.</t>
  </si>
  <si>
    <t>14 - Em caso de escavações, fundações, e desmonte de rochas, é respeitado o disposto no subitem 18.7 da NR 18</t>
  </si>
  <si>
    <t>Atentar-se para a presença de terceiros acompanhando a atividade de demolição. 
Não permitir o acesso, isolar o local e informar aos mesmos sobre os riscos existentes na atividade.</t>
  </si>
  <si>
    <t>Os empregados não pegam peso excessivo, não fazem esforços além da sua capacidade física, e, sempre que possível, utilizam equipamentos que auxiliam para pegar peso. Contando também com pausas para descanso no caso de a atividade ser prolongada.</t>
  </si>
  <si>
    <t xml:space="preserve">Sempre orientar os funcionários para que realizem a destinação adequada dos resíduos gerados no canteiro de obras e na frente de obra.  </t>
  </si>
  <si>
    <t>Manter a área sempre sinalizada com placas de sinalização, cones entre outros dispositivos de segurança tornando assim o local seguro.</t>
  </si>
  <si>
    <t>É obrigatória a instalação de proteção coletiva onde houver risco de queda de trabalhadores ou de projeção de materiais e objetos no entorno da obra, projetada por profissional legalmente habilitado.</t>
  </si>
  <si>
    <t>Para avaliar a adaptação das condições de trabalho às características psicofisiológicas dos trabalhadores, cabe ao empregador realizar a análise ergonômica do trabalho, devendo a mesma abordar, no mínimo, as condições de trabalho, conforme estabelecido nesta Norma Regulamentadora.</t>
  </si>
  <si>
    <t>1º  Aditivo de Prazo:</t>
  </si>
  <si>
    <t>2º  Aditivo de Prazo:</t>
  </si>
  <si>
    <t>3º  Aditivo de Prazo:</t>
  </si>
  <si>
    <t xml:space="preserve">120 Dias </t>
  </si>
  <si>
    <t>Edesio Fraga Moreira</t>
  </si>
  <si>
    <t>18.10.2 Na edificação de estrutura metálica, abaixo dos serviços de rebitagem, parafusagem ou soldagem, deve ser mantido piso provisório, abrangendo toda a área de trabalho situada no piso imediatamente inferior.</t>
  </si>
  <si>
    <t>As disposições deste item aplicam-se à instalação, montagem, desmontagem, operação, teste, manutenção e reparos em equipamentos de transporte vertical de materiais e de pessoas em canteiros de obras ou frentes de trabalho.</t>
  </si>
  <si>
    <t>Os equipamentos de transporte vertical de materiais e de pessoas devem ser dimensionados por profissional legalmente habilitado.</t>
  </si>
  <si>
    <t>A sinalização de obras tem como característica a utilização dos sinais e elementos de sinalização vertical, horizontal, semafórica, de dispositivos e sinalizações auxiliares combinados de forma que os usuários da via sejam advertidos sobre a intervenção realizada e possam identificar seu caráter temporário.</t>
  </si>
  <si>
    <t>A sinalização de segurança possibilita uma melhor organização na obra e oferece informações e orientações claras também para quem está de passagem por ali. É preciso sempre estar atento às sinalizações dos riscos, pois muitas vezes não parecem estar presentes. Manter o Local da Obra Sempre Sinalizado.</t>
  </si>
  <si>
    <t>QUANTIDADE</t>
  </si>
  <si>
    <t>As escavações com mais de 1,25m (um metro e vinte e cinco centímetros) de profundidade devem dispor de escadas ou rampas, colocadas próximas aos postos de trabalho, a fim de permitir, em caso de emergência, a saída rápida dos trabalhadores, independentemente do previsto no subitem 18.6.5.
As escavações realizadas em vias públicas ou canteiros de obras devem ter sinalização de advertência, inclusive noturna, e barreira de isolamento em todo o seu perímetro.</t>
  </si>
  <si>
    <t>Todos os trabalhadores da empresa contratada, para execução do serviços estão fazendo uso do uniforme.</t>
  </si>
  <si>
    <t>Item 3.1.3 - Aterro mecanizado de vala com retroescavadeira</t>
  </si>
  <si>
    <t>Item 3.3.3 - Reassentamento de paralelepípedo</t>
  </si>
  <si>
    <t>Item 3.5.1 - Concreto fck = 30 Mpa</t>
  </si>
  <si>
    <t>Item 3.5.11 - Fornecimento e assentamento de galeria de concreto pré-moldado 3 X 2 metros fechada
(tampa fixa)</t>
  </si>
  <si>
    <t>Atividade de operação insalubre é aquela prestada em condições que expõem o trabalhador aos agentes nocivos à saúde acima dos limites de tolerância fixados em razão da sua natureza, intensidade ou concentração. Assim como do agente e tempo de exposição aos seus efeitos sem as devidas medidas de controle de ordem individual, coletiva ou administrativa.</t>
  </si>
  <si>
    <t>x</t>
  </si>
  <si>
    <t>O abastecimento de água será realizada pela CESAN.</t>
  </si>
  <si>
    <t>Canteiro de obras apresenta sistema individual de tratamento (Fossa séptica).</t>
  </si>
  <si>
    <t xml:space="preserve">Realizar a limpeza do sistema sempre que atingir a capacidade do sistema, devendo tal limpeza ser realizada por empresa devidamente licenciada, bem como realizar a disposição em local adequado e licenciado para tal fim. </t>
  </si>
  <si>
    <t xml:space="preserve">Manter a umectação periódica. </t>
  </si>
  <si>
    <t xml:space="preserve">Todo trecho em obras, esta sinalizado com placas, cones entre outros dispositivo de segurança. </t>
  </si>
  <si>
    <t>Pendente de envio de documentação comprobatória, conforme informado no RTAM.</t>
  </si>
  <si>
    <t xml:space="preserve">Atentar às condicionantes ambientais que tratam do gerenciamento de resíduos sólidos. </t>
  </si>
  <si>
    <t>7. Velocidade de veículos e máquinas envolvidos na construção</t>
  </si>
  <si>
    <t>8. Carregamento dos veículos para transporte de material (peso e cobertura)</t>
  </si>
  <si>
    <t>9. Circulação de transeuntes em vias com obra</t>
  </si>
  <si>
    <t>10. Geração de ruídos e vibrações por máquinas e equipamentos</t>
  </si>
  <si>
    <t>11.  Disposição e destinação de resíduos da Construção Civil</t>
  </si>
  <si>
    <t>12. Sinalização de área de restrição/vigilância patrimonial</t>
  </si>
  <si>
    <t>13. Utilização de canteiro de obras em área devidamente autorizada ou licenciadas pelo órgão competente</t>
  </si>
  <si>
    <t xml:space="preserve">Não foram identificadas irregularidades. </t>
  </si>
  <si>
    <t>Não foram verificadas áreas empoçadas.</t>
  </si>
  <si>
    <t>Não foram verificadas irregularidades na obra neste mês de referência.</t>
  </si>
  <si>
    <t>Dar continuidade nas ações de controle ambiental para mitigar os impactos de emissão de gases e ruidos dos equipamentos, máquinas e veículos.</t>
  </si>
  <si>
    <t>ATUALIZAR</t>
  </si>
  <si>
    <t>Sem ocorrências no período.</t>
  </si>
  <si>
    <t>Trânsito de veículos adequadamente em velocidade reduzida.</t>
  </si>
  <si>
    <t>052/2022</t>
  </si>
  <si>
    <t>Andares Construções Civil Eireli EPP</t>
  </si>
  <si>
    <t>Julho/2020</t>
  </si>
  <si>
    <t>183</t>
  </si>
  <si>
    <t>(6 meses)</t>
  </si>
  <si>
    <r>
      <t xml:space="preserve">EMPREITEIRA: </t>
    </r>
    <r>
      <rPr>
        <sz val="11"/>
        <rFont val="Arial"/>
        <family val="2"/>
      </rPr>
      <t xml:space="preserve"> Andares Construções Civil Eireli EPP</t>
    </r>
  </si>
  <si>
    <r>
      <t xml:space="preserve">CONTRATO N°: </t>
    </r>
    <r>
      <rPr>
        <sz val="11"/>
        <rFont val="Arial"/>
        <family val="2"/>
      </rPr>
      <t xml:space="preserve"> 052/2022</t>
    </r>
  </si>
  <si>
    <t>CONTRATO Nº: 052/22</t>
  </si>
  <si>
    <t>Inspeção Técnica de Engenharia</t>
  </si>
  <si>
    <t>Especialista em Meio Ambeinte</t>
  </si>
  <si>
    <t>Tapume Telha Metálica Ondulada 0,50mm Branca h=2,20m, incl. montagem estr. mad. 8"x8", c/adesivo "SEDURB" 60x60cm a cada 10m, incl. faixas pint. esmalte sint. cores azul c/ h=30cm e rosa c/ h=10cm (Reaproveitamento 2x)</t>
  </si>
  <si>
    <t xml:space="preserve">Mobilização e desmobilização de conteiner locado </t>
  </si>
  <si>
    <t>S030209</t>
  </si>
  <si>
    <t>Emulsão Asfáltica para Imprimação (EAI), fornecimento - BDI = 14,01</t>
  </si>
  <si>
    <t>Transporte com caminhão basculante de 12m³ - rodovia pavimentada - material de 1º categoria</t>
  </si>
  <si>
    <t>Destinação Final de Resíduos Classe II A em aterro sanitário controlado - BDI = 14,02 - BDI = 14,01</t>
  </si>
  <si>
    <t>Execução de pavimento com aplicação de concreto asfáltico, camada de rolamento - exclusive carga e transporte. AF-11/2019</t>
  </si>
  <si>
    <t>Aterro com areia, inclusive fornecimento e adensamento</t>
  </si>
  <si>
    <t>Aquisição de solo de jazida comercial (saibreira)</t>
  </si>
  <si>
    <t>Transporte de materiais para DMT acima de 15 KM (Caminhão basculante) - solo de jazida comercial (saibreira)</t>
  </si>
  <si>
    <t>t/km</t>
  </si>
  <si>
    <t>SICRO-0804015- apd</t>
  </si>
  <si>
    <t>0804022</t>
  </si>
  <si>
    <t>Corpo de BSTC D = 0,50 m CA2 - areia, brita e pedra de mão comerciais</t>
  </si>
  <si>
    <t>Corpo de BSTC D = 0,60 m CA2 - areia extraída e brita e pedra de mão produzidas</t>
  </si>
  <si>
    <t>MANUTENÇÃO REDE ESGOTO</t>
  </si>
  <si>
    <t>42506</t>
  </si>
  <si>
    <t>Demolição de concreto simples (PV e BSTC)</t>
  </si>
  <si>
    <t>Remoção e reassentamento de paralelepípedos, inclusive perdas em Vias Urbanas</t>
  </si>
  <si>
    <t>Índice de preço para remoção de entulho decorrente da execução de obras - BDI = 14,01</t>
  </si>
  <si>
    <t>2.4.4</t>
  </si>
  <si>
    <t>2.5.8</t>
  </si>
  <si>
    <t>2.5.9</t>
  </si>
  <si>
    <t>2.5.10</t>
  </si>
  <si>
    <t>2.5.11</t>
  </si>
  <si>
    <t>2.5.12</t>
  </si>
  <si>
    <t>2.5.13</t>
  </si>
  <si>
    <t>GUARANHUNS12F-6817851</t>
  </si>
  <si>
    <t>GUARANHUNS12A-6817851</t>
  </si>
  <si>
    <t>CESAN-7060100030</t>
  </si>
  <si>
    <t>Fornecimento e assentamento de galeria de concreto pré-moldado 2,0 X 1,5 metros fechada (tampa fixa) (m)</t>
  </si>
  <si>
    <t>Fornecimento e assentamento de galeria de concreto pré-moldado 2,0 X 1,5 metros aberta (tampa removível) (m)</t>
  </si>
  <si>
    <t>Fabricação, montagem e desmontagem de fôrma em chapa de madeira compensada resinada, e=17 mm</t>
  </si>
  <si>
    <t>Barra chata em qualquer dimensão</t>
  </si>
  <si>
    <t>Escoramento cavas com prancha metalica</t>
  </si>
  <si>
    <t>Serviço de bombeamento de concreto</t>
  </si>
  <si>
    <t>Lastro com material granular (pedra britada n.3), aplicado em pisos ou radiers, espessura de *10 cm*. AF_07/2019</t>
  </si>
  <si>
    <t>Rebaixamento de lencol freatico com pont filtrantes</t>
  </si>
  <si>
    <t>Tampão FOFO articulado, classe B125 carga max 12,5 t, redondo tampa 600 mm, rede pluvial/esgoto, p = chamine cx areia / poço visita assentado com arg cim/areia 1:4, fornecimento e assentamento</t>
  </si>
  <si>
    <t>TOTAL DO CONTRATO</t>
  </si>
  <si>
    <r>
      <t xml:space="preserve">ASSINATURA: </t>
    </r>
    <r>
      <rPr>
        <sz val="11"/>
        <rFont val="Arial"/>
        <family val="2"/>
      </rPr>
      <t>11/08/2022</t>
    </r>
  </si>
  <si>
    <r>
      <t xml:space="preserve">INÍCIO DOS SERVIÇOS: </t>
    </r>
    <r>
      <rPr>
        <sz val="11"/>
        <rFont val="Arial"/>
        <family val="2"/>
      </rPr>
      <t>15/09/2022</t>
    </r>
  </si>
  <si>
    <t>Andares Construção Civil Eireli EPP</t>
  </si>
  <si>
    <r>
      <t xml:space="preserve">IDENTIFICAÇÃO: </t>
    </r>
    <r>
      <rPr>
        <sz val="14"/>
        <rFont val="Arial"/>
        <family val="2"/>
      </rPr>
      <t>OBRA 5222</t>
    </r>
  </si>
  <si>
    <r>
      <t xml:space="preserve">EMPREITEIRA: </t>
    </r>
    <r>
      <rPr>
        <sz val="14"/>
        <rFont val="Arial"/>
        <family val="2"/>
      </rPr>
      <t>Andares</t>
    </r>
    <r>
      <rPr>
        <b/>
        <sz val="14"/>
        <rFont val="Arial"/>
        <family val="2"/>
      </rPr>
      <t xml:space="preserve"> </t>
    </r>
    <r>
      <rPr>
        <sz val="14"/>
        <rFont val="Arial"/>
        <family val="2"/>
      </rPr>
      <t>Construção Civil Eireli EPP</t>
    </r>
  </si>
  <si>
    <t>CANTEIRO DE OBRAS</t>
  </si>
  <si>
    <t>IMPLANTAÇÃO DO CANTEIRO DE OBRAS</t>
  </si>
  <si>
    <t>Consolidação de Elementos de Medição e Supervisão das Condições Trabalhistas</t>
  </si>
  <si>
    <t>Thales Cutini de Alvarenga</t>
  </si>
  <si>
    <t>Execução das Obras de Macrodrenagem das Ruas Ceciliano Abel de Almeida e Lourenço Sales</t>
  </si>
  <si>
    <t>Ligação de água - Canteiro de obras</t>
  </si>
  <si>
    <t>Rede de Esgoto - Canteiro de Obras</t>
  </si>
  <si>
    <t>Rede de Luz - Canteiro de Obras</t>
  </si>
  <si>
    <t>Caixa d'água - Canteiro de Obras</t>
  </si>
  <si>
    <t>Und</t>
  </si>
  <si>
    <t>Tapume - Canteiro de Obras</t>
  </si>
  <si>
    <t xml:space="preserve">Placa de Obras Instalada </t>
  </si>
  <si>
    <t>Container Canteiro</t>
  </si>
  <si>
    <t>mês</t>
  </si>
  <si>
    <t>Concreto Magro Base da Galeria</t>
  </si>
  <si>
    <t>HORAS</t>
  </si>
  <si>
    <t>QUANT. BOMBA</t>
  </si>
  <si>
    <t>Brita para Base da Galeria</t>
  </si>
  <si>
    <t>Escoramento de Valas para Assentamento de Galerias</t>
  </si>
  <si>
    <t>LADOS</t>
  </si>
  <si>
    <t>Bombeamento para Esgotamento de Vala</t>
  </si>
  <si>
    <t>Inspeção de Topografia</t>
  </si>
  <si>
    <t>Inspeção Técnica de Segurança do Trabalho</t>
  </si>
  <si>
    <t>Inspeção da Equipe de controle tecnológico</t>
  </si>
  <si>
    <t xml:space="preserve">O canteiro de obras está contemplado na licença emitida pelo IEMA para as Obra, de Execução das Obras de Macrodrenagem do Bairro Jokei de Itaparica, Municipio de Vila Velha  - Nº  </t>
  </si>
  <si>
    <t>Valdik Escapini Fanchiotti</t>
  </si>
  <si>
    <t>Legenda:</t>
  </si>
  <si>
    <t>RUAS CECILIANO ABEL DE ALMEIDA E LOURENÇO SALES</t>
  </si>
  <si>
    <r>
      <t xml:space="preserve">CONTRATO: </t>
    </r>
    <r>
      <rPr>
        <sz val="14"/>
        <rFont val="Arial"/>
        <family val="2"/>
      </rPr>
      <t>052/2022</t>
    </r>
  </si>
  <si>
    <t>GALERIA GUARANHUNS 1 E 2</t>
  </si>
  <si>
    <t>SUB-TOTAL - 2 - GALERIA GUARANHUNS (RUA CECILIANO ABEL DE ALMEIDA E RUA LOURENÇO SALES)</t>
  </si>
  <si>
    <t>Técnico</t>
  </si>
  <si>
    <t>Encarregado Geral</t>
  </si>
  <si>
    <t>Oficial</t>
  </si>
  <si>
    <t>Ajudante Prático</t>
  </si>
  <si>
    <t>Auxiliar de Obras</t>
  </si>
  <si>
    <t>Operador de Retro</t>
  </si>
  <si>
    <t>Escavadeira</t>
  </si>
  <si>
    <t>Caminhão</t>
  </si>
  <si>
    <t xml:space="preserve">Compactador Prancha </t>
  </si>
  <si>
    <t>Pick-up</t>
  </si>
  <si>
    <t xml:space="preserve">Conteiner para refeitório </t>
  </si>
  <si>
    <t>Conteiner sanitário</t>
  </si>
  <si>
    <t>Conteiner para escritório</t>
  </si>
  <si>
    <t>Conteiner para almoxarifado</t>
  </si>
  <si>
    <t>DISTÂNCIA
(km)</t>
  </si>
  <si>
    <t xml:space="preserve">Escavação mecânica de vala em material de 1ª categoria - Rua Lourenço Sales </t>
  </si>
  <si>
    <t xml:space="preserve">Aterro com areia, inclusive fornecimento e adensamento - Rua Lourenço Sales </t>
  </si>
  <si>
    <t>Remoção residuos Classe A Conama (caçamba) Classe II B (NBR10004) inclusive destinação final - BDI = 14,01</t>
  </si>
  <si>
    <t>PVD</t>
  </si>
  <si>
    <t>PVE</t>
  </si>
  <si>
    <t>MANILHAS D=600</t>
  </si>
  <si>
    <t>QUANTI
DADE</t>
  </si>
  <si>
    <t>Gestor do Contrato - SEDURB</t>
  </si>
  <si>
    <t>Re</t>
  </si>
  <si>
    <t>Aluguel mensal container para refeitorio, incl. porta, 2 janelas, abert p/ ar cond., 2 pt iluminação, 2 tomadas elét. e 1 tomada telef. Isolamento térmico (paredes e teto), piso em comp. Naval pintado, cert. NR18, incl. laundo descontaminação.</t>
  </si>
  <si>
    <r>
      <t>INÍCIO SERVIÇO:</t>
    </r>
    <r>
      <rPr>
        <sz val="11"/>
        <rFont val="Arial"/>
        <family val="2"/>
      </rPr>
      <t xml:space="preserve"> 17/02/2021</t>
    </r>
  </si>
  <si>
    <r>
      <t xml:space="preserve">CONTRATO N°:    </t>
    </r>
    <r>
      <rPr>
        <sz val="11"/>
        <rFont val="Arial"/>
        <family val="2"/>
      </rPr>
      <t>011/2021</t>
    </r>
  </si>
  <si>
    <r>
      <t xml:space="preserve">ASSINATURA:     </t>
    </r>
    <r>
      <rPr>
        <sz val="11"/>
        <rFont val="Arial"/>
        <family val="2"/>
      </rPr>
      <t>04/02/2021</t>
    </r>
  </si>
  <si>
    <t>O PCMSO tem por finalidade:
Garantir as ações necessárias visando à promoção da saúde, a prevenção de doenças e acidentes e a recuperação dos empregados;
Garantir aos empregados melhor qualidade de vida possível no trabalho, visando a preservação de sua saúde, como também o aumento da produtividade, da qualidade e da competitividade.</t>
  </si>
  <si>
    <t>Execução de remoção de pavimento existente - estaca 110+10 (ramo 100)</t>
  </si>
  <si>
    <t>15.1.   Verificação do Atendimento aos Procedimentos de Segurança, Higiene e Medicina do Trabalho</t>
  </si>
  <si>
    <t>2 - Fornecimento gratuito de EPI aos empregados em perfeito estado de conservação e funcionamento, conforme estabelecido na NR 06</t>
  </si>
  <si>
    <t>Empresa selecionou e dotou aos trabalhadores, Equipamento de Proteção Individual (EPI's), adequados ao risco em que estavam expostos. Assim, são estabelecidas normas e procedimentos para promover o fornecimento, o uso, a guarda, a higienização, a conservação, a manutenção e a reposição do EPI. Desta forma, visando garantir as condições de proteção originalmente estabelecidas.</t>
  </si>
  <si>
    <t>3 - O empregado utiliza o EPI apenas para a finalidade a que se destina, responsabilizando-se pela guarda e conservação, comunicando ao empregador qualquer alteração que o torne impróprio para uso, de acordo com a NR 06</t>
  </si>
  <si>
    <t>4 - É implementado por parte do empregador o Programa de Controle Médico de Saúde Ocupacional (PCMSO), com objetivo de promover a preservação da saúde de seus trabalhadores, segundo a NR 07</t>
  </si>
  <si>
    <t xml:space="preserve"> Sem Recomendações</t>
  </si>
  <si>
    <t>15 - Sistemas de Proteção em Fundações Cravadas e Injetadas / Operação Bate - Estacas. Subitem 18.7.2.1 da NR 18</t>
  </si>
  <si>
    <t>18.10.1 As peças devem estar previamente fixadas antes de serem soldadas, rebitadas ou parafusadas.</t>
  </si>
  <si>
    <t>21 - Em caso de movimentação e transporte de materiais e pessoas, é respeitado o disposto no subitem 18.14 da NR 18</t>
  </si>
  <si>
    <t>• Foram instalados extintores específicos em locais de fácil visualização, atendendo ao tipo de classe (A - BC - CB);
• É proibida a execução de serviços de soldagem e corte a quente nos locais próximos a armazenagem de produtos químicos inflamáveis e materiais com facilidade de queima;
• Será proibido fumar em locais fechados ou com aproximação de armazenagem de produtos químicos inflamáveis e materiais com facilidade de queima;
• Os locais onde se encontram os extintores estão sinalizados corretamente.</t>
  </si>
  <si>
    <t>15.2   VERIFICAÇÃO DO ATENDIMENTO AOS PROCEDIMENTOS AMBIENTAIS</t>
  </si>
  <si>
    <t xml:space="preserve">Sempre orientar os funcionários para que realizem a destinação adequada dos resíduos gerados no canteiro de obras e na frente de obra. </t>
  </si>
  <si>
    <t>11. Disposição e destinação de resíduos da Construção Civil</t>
  </si>
  <si>
    <t xml:space="preserve">Executado pela empresa Andares, conforme verificado em vistoria. </t>
  </si>
  <si>
    <t>Licença Ambiental de Instalação - LI - GSIM/CRSS/Nº 34/2021/CLASSE IV - Macrodrenagem – Bacia do Canal Guaranhuns – Implantação de Elevatória de Bombeamento de Água Pluvial – EBAP Laranja e Galerias de Drenagem nas Ruas Ceciliano de Almeida e Loureiro Sales, Bairro Nova Itaparica, e Rua Amazonas e São Paulo, bairro Itaparica, Município de Vila Velha.</t>
  </si>
  <si>
    <r>
      <rPr>
        <b/>
        <sz val="12"/>
        <color theme="1"/>
        <rFont val="Arial"/>
        <family val="2"/>
      </rPr>
      <t>h.</t>
    </r>
    <r>
      <rPr>
        <sz val="12"/>
        <color theme="1"/>
        <rFont val="Arial"/>
        <family val="2"/>
      </rPr>
      <t xml:space="preserve"> Efetivação do Relatório de Comprovação de Adimplência de Encargos – RECAE, conforme Modelo apresentado na IS Nº 003-N do DER-ES.</t>
    </r>
  </si>
  <si>
    <r>
      <t>Execução das obras de Macrodrenagem nas</t>
    </r>
    <r>
      <rPr>
        <sz val="12"/>
        <rFont val="Arial"/>
        <family val="2"/>
      </rPr>
      <t xml:space="preserve"> Ruas Ceciliano Abel de Almeida e Lourenço Sales</t>
    </r>
    <r>
      <rPr>
        <sz val="12"/>
        <color theme="1"/>
        <rFont val="Arial"/>
        <family val="2"/>
      </rPr>
      <t>, no Bairro Nova Itaparica, no município de Vila Velha/ES, com fornecimento de mão-de-obra e materiais.</t>
    </r>
  </si>
  <si>
    <t>Rua Ceciliano Abel de Almeida e Rua Lourenço Sales, Nova Itaparica</t>
  </si>
  <si>
    <r>
      <t>TRECHO</t>
    </r>
    <r>
      <rPr>
        <sz val="12"/>
        <rFont val="Calibri"/>
        <family val="2"/>
        <scheme val="minor"/>
      </rPr>
      <t>: Rua Ceciliano Abel de Almeida e Rua Lourenço Sales, Nova Itaparica</t>
    </r>
  </si>
  <si>
    <r>
      <t xml:space="preserve">TRECHO: </t>
    </r>
    <r>
      <rPr>
        <sz val="14"/>
        <rFont val="Arial"/>
        <family val="2"/>
      </rPr>
      <t>Rua Ceciliano Abel de Almeida e Rua Lourenço Sales, Nova Itaparica</t>
    </r>
  </si>
  <si>
    <t>Todo o pessoal da obra possui EPI?</t>
  </si>
  <si>
    <r>
      <rPr>
        <b/>
        <sz val="12"/>
        <rFont val="Arial"/>
        <family val="2"/>
      </rPr>
      <t>Felipe Santos Fregonassi</t>
    </r>
    <r>
      <rPr>
        <sz val="12"/>
        <rFont val="Arial"/>
        <family val="2"/>
      </rPr>
      <t xml:space="preserve"> - Engenheiro Residente</t>
    </r>
  </si>
  <si>
    <r>
      <rPr>
        <b/>
        <sz val="12"/>
        <rFont val="Arial"/>
        <family val="2"/>
      </rPr>
      <t>Valdir Melo</t>
    </r>
    <r>
      <rPr>
        <sz val="12"/>
        <rFont val="Arial"/>
        <family val="2"/>
      </rPr>
      <t xml:space="preserve"> - Responsável pela equipe de topografia</t>
    </r>
  </si>
  <si>
    <r>
      <rPr>
        <b/>
        <sz val="12"/>
        <rFont val="Arial"/>
        <family val="2"/>
      </rPr>
      <t>Gessi da Silva Filho</t>
    </r>
    <r>
      <rPr>
        <sz val="12"/>
        <rFont val="Arial"/>
        <family val="2"/>
      </rPr>
      <t xml:space="preserve"> - Resp. pela Segurança do Trabalho</t>
    </r>
  </si>
  <si>
    <r>
      <rPr>
        <b/>
        <sz val="12"/>
        <rFont val="Arial"/>
        <family val="2"/>
      </rPr>
      <t>Silvanos dos S. Helmer</t>
    </r>
    <r>
      <rPr>
        <sz val="12"/>
        <rFont val="Arial"/>
        <family val="2"/>
      </rPr>
      <t xml:space="preserve"> - Resp. pela equipe de Laboratório</t>
    </r>
  </si>
  <si>
    <t>Nos trabalhos em esmeril e lixadeira, o operador utiliza óculos de segurança?</t>
  </si>
  <si>
    <t>Todos os trabalhadores possuem capacete?</t>
  </si>
  <si>
    <t>São distribuídos regularmente o EPI?</t>
  </si>
  <si>
    <t>As luvas dos trabalhadores estão em boas condições?</t>
  </si>
  <si>
    <t>Todos os trabalhadores utilizam calçados de segurança?</t>
  </si>
  <si>
    <t>Todos os EPI's são inspecionados eventualmente?</t>
  </si>
  <si>
    <t>Os soldadores utilizam EPI adequado?</t>
  </si>
  <si>
    <t>As pessoas que trabalham em atividade sujeitas a níveis de ruído acima dos permitidos pelaN15 utilizam protetor auricular?</t>
  </si>
  <si>
    <t>Nos trabalhos em que haja perigo de queda, os trabalhadores utilizam cinto de segurança?</t>
  </si>
  <si>
    <t>A empresa possui em seu arquivo registro de CA e CRF dos EPI's utilizados?</t>
  </si>
  <si>
    <t>Todos os EPI's adquiridos para uso dos trabalhadores possuem CA de acordo com as exigências do Ministério do Trabalho e Emprego?</t>
  </si>
  <si>
    <t>Os novos trabalhadores recebem instruções de segurança?</t>
  </si>
  <si>
    <t>As ferramentas utilizadas pelo operador estão em bom estado?</t>
  </si>
  <si>
    <t>As ferramentas utilizadas pelo operador são adequadas para cada serviço?</t>
  </si>
  <si>
    <t>As ferramentas consideradas perigosas são guardadas em lugar seguro?</t>
  </si>
  <si>
    <t>Os profissionais são treinados ou orientados para utilizar ferramentas especiais?</t>
  </si>
  <si>
    <t>As ferramentas manuais são portadas em caixas, sacolas ou cintos apropriados?</t>
  </si>
  <si>
    <t>As ferramentas pneumáticas portáteis dispõem de dispositivos de partida instalados de modo a reduzir ao mínimo a possibilidade de funcionamento acidental?</t>
  </si>
  <si>
    <t>As pessoas forçam as ferramentas além de sua capacidade?</t>
  </si>
  <si>
    <t>Os operadores das máquinas e equipamentos são treinados para operá-los?</t>
  </si>
  <si>
    <t>As máquinas e equipamentos estão em bom estado?</t>
  </si>
  <si>
    <t>As máquinas e equipamentos sofrem manutenção preventiva periódica?</t>
  </si>
  <si>
    <t>Os botões de parada de emergência das máquinas e equipamentos são visíveis e estão situados próximos ao operador?</t>
  </si>
  <si>
    <t>As máquinas possuem proteção das correias?</t>
  </si>
  <si>
    <t>As máquinas possuem proteção nas engrenagens?</t>
  </si>
  <si>
    <t>A instalação elétrica da máquina possui aterramento?</t>
  </si>
  <si>
    <t>Apenas trabalhadores habilitados operam as máquinas?</t>
  </si>
  <si>
    <t>Ao consertar partes da máquina, o operador desliga a chave geral?</t>
  </si>
  <si>
    <t>As áreas de circulação e os espaços em torno das máquinas e equipamentos são mantidos desobstruídos?</t>
  </si>
  <si>
    <t>A inspeção e a manutenção das máquinas e equipamentos são realizadas por profissionais autorizados?</t>
  </si>
  <si>
    <t>Nos equipamentos como guindastes e pontes rolantes, os cabos de aço são periodicamente examinados?</t>
  </si>
  <si>
    <t>Quando um equipamento de levantamento não estiver em operação, a lança está colocada em posição de descanso?</t>
  </si>
  <si>
    <t>Costuma-se verificar o transporte inadequado de trabalhadores?</t>
  </si>
  <si>
    <t>A entrada de veículos é controlada na entrada ou no canteiro de obra?</t>
  </si>
  <si>
    <t>O pessoal respeita a velocidade máxima permitida?</t>
  </si>
  <si>
    <t>Os veículos de transporte de carga são devidamente sinalizados?</t>
  </si>
  <si>
    <t>Os motoristas dos veículos utilizam cinto de segurança?</t>
  </si>
  <si>
    <t>Os veículos estão em bom estado de conservação?</t>
  </si>
  <si>
    <t>Os motoristas são pessoas habilitadas para dirigir veículos?</t>
  </si>
  <si>
    <t>A documentação do veículo está em dia?</t>
  </si>
  <si>
    <t>Os veículos têm equipamento contra incêndio?</t>
  </si>
  <si>
    <t>Todos os veículos autorizados são da empresa?</t>
  </si>
  <si>
    <t>Tudo é guardado em seu devido lugar?</t>
  </si>
  <si>
    <t>Os corredores e as passagens estão desimpedidas e sem obstáculos?</t>
  </si>
  <si>
    <t>Existem latas de lixo distribuídas pela área?</t>
  </si>
  <si>
    <t>Os produtos químicos considerados perigosos estão convenientemente guardados?</t>
  </si>
  <si>
    <t>O chão está isento de respingos ou manchas de óleo que sejam considerados perigosos?</t>
  </si>
  <si>
    <t>As paredes estão limpas?</t>
  </si>
  <si>
    <t>A água que o pessoal bebe é tratada?</t>
  </si>
  <si>
    <t>No local de trabalho utilizam-se copos descartáveis?</t>
  </si>
  <si>
    <t>Há lavatórios em quantidade suficiente?</t>
  </si>
  <si>
    <t>Há sanitários em quantidade suficiente?</t>
  </si>
  <si>
    <t>É realizada a limpeza diária nos lavatórios e sanitários?</t>
  </si>
  <si>
    <t>Há chuveiros em quantidade suficiente?</t>
  </si>
  <si>
    <t>Cada trabalhador tem seu armário?</t>
  </si>
  <si>
    <t>O refeitório atende as exigências sanitárias?</t>
  </si>
  <si>
    <t>Os extintores de incêndio encontram-se em lugar visível e de fácil acesso?</t>
  </si>
  <si>
    <t>Todos os extintores estão carregados</t>
  </si>
  <si>
    <t>Há extintores em quantidade suficiente</t>
  </si>
  <si>
    <t>O lugar do extintor é sinalizado?</t>
  </si>
  <si>
    <t>Existe brigada de incêndio?</t>
  </si>
  <si>
    <t>Os extintores são revisados anualmente?</t>
  </si>
  <si>
    <t>Há saída de emergência?</t>
  </si>
  <si>
    <t>O pessoal é treinado para emergência dessa natureza?</t>
  </si>
  <si>
    <t>O número de telefone do corpo de bombeiros está à vista de todos os trabalhadores?</t>
  </si>
  <si>
    <t>O latão de resíduos inflamáveis, como estopa, trapos sujos de óleo etc., possui tampa protetora?</t>
  </si>
  <si>
    <t>O transporte dos cilindros, nas atividades de solda, é realizado em carrinho ou de forma adequada?</t>
  </si>
  <si>
    <t>Os cilindros são utilizados em pé?</t>
  </si>
  <si>
    <t>Há material de fácil combustão próximo ao local dos serviços de solda?</t>
  </si>
  <si>
    <t>Quem executa os serviços de corte com maçarico é profissional habilitado?</t>
  </si>
  <si>
    <t>O maçariqueiro usa roupas adequadas ao serviço (EPI)?</t>
  </si>
  <si>
    <t>Costuma-se verificar periodicamente o estado de cabos, estropos, manilhas e moitões?</t>
  </si>
  <si>
    <t>Os veículos de içamento de cargas, possuem sinal sonoro?</t>
  </si>
  <si>
    <t>Os locais em torno dos trabalhos de içamento de carga estão isolados?</t>
  </si>
  <si>
    <t>Utiliza-se cabo guia para reduzir o balanço e melhorar o direcionamento da carga suspensa?</t>
  </si>
  <si>
    <t>O trabalhador que executa suas atividades em altura, utiliza cintos de segurança?</t>
  </si>
  <si>
    <t>O trabalhador que opera em alturas amarra as ferramentas?</t>
  </si>
  <si>
    <t>Os andaimes possuem guarda corpo?</t>
  </si>
  <si>
    <t>Todos os trabalhadores utilizam uniforme tipo brim sol a sol?</t>
  </si>
  <si>
    <t>Possui equipamentos para isolamento e sinalização da área?</t>
  </si>
  <si>
    <t>Os equipamentos para sinalização e isolamento estão em bom estado de conservação?</t>
  </si>
  <si>
    <t>As escavações com mais de 1,25m de profundidade possuem escadas ou rampas para saída dos trabalhadores?</t>
  </si>
  <si>
    <t>O PCMSO de todos os empregados estão atualizados e disponíveis?</t>
  </si>
  <si>
    <t>Há caixa com materiais de primeiros socorros e de fácil acesso para os empregados?</t>
  </si>
  <si>
    <t>Há mapa de risco no ambiente analisado?</t>
  </si>
  <si>
    <t>O mapa de risco está atualizado?</t>
  </si>
  <si>
    <t>Há cartazes sobre "Proibido Fumar" dentro do ambiente analisado?</t>
  </si>
  <si>
    <t>Instalações elétricas, máquinas e equipamentos se encontram eletricamente aterrados conforme as normas técnicas oficiais vigentes?</t>
  </si>
  <si>
    <t>Há no departamento instalações elétricas que possam eventualmente ficar em contato com água?</t>
  </si>
  <si>
    <t>Há cabos e fios pelo chão, em local de tráfego de pessoas ou veículos de transporte?</t>
  </si>
  <si>
    <t>Os veículos, máquinas e equipamentos estão estacionados de ré?</t>
  </si>
  <si>
    <t>Operador de Escavadeira</t>
  </si>
  <si>
    <t>01/31/2023</t>
  </si>
  <si>
    <t>Escavação mecânica de vala em material de 1ª categoria - Rua Ceciliano Abel de Almeida</t>
  </si>
  <si>
    <t>Aterro com areia, inclusive fornecimento e adensamento - Rua Ceciliano Abel de Almeida</t>
  </si>
  <si>
    <t xml:space="preserve">Rua Lourenço Sales </t>
  </si>
  <si>
    <t>Rua Ceciliano Abel de Almeida</t>
  </si>
  <si>
    <t>Manutenção</t>
  </si>
  <si>
    <t xml:space="preserve">PERÍODO: </t>
  </si>
  <si>
    <t>Consórcio 
Prosul-Quadrante Viaponte-Consane</t>
  </si>
  <si>
    <r>
      <t xml:space="preserve">SUPERVISORA:   </t>
    </r>
    <r>
      <rPr>
        <sz val="11"/>
        <rFont val="Arial"/>
        <family val="2"/>
      </rPr>
      <t>Consórcio Prosul-Quadrante Viaponte-Consane</t>
    </r>
  </si>
  <si>
    <r>
      <t xml:space="preserve">SUPERVISORA: </t>
    </r>
    <r>
      <rPr>
        <sz val="11"/>
        <rFont val="Arial"/>
        <family val="2"/>
      </rPr>
      <t>Consórcio Prosul-Quadrante Viaponte-Consane</t>
    </r>
  </si>
  <si>
    <t xml:space="preserve">Remoção residuos classe A Conama (caçamba) Classe II B - Rua Lourenço Sales </t>
  </si>
  <si>
    <t>Remoção residuos classe A Conama (caçamba) Classe II B - Rua Ceciliano Abel de Almeida</t>
  </si>
  <si>
    <t xml:space="preserve">Corpo de BSTC D = 0,40 m CA2 - areia, brita e pedra de mão comerciais - Rua Lourenço Sales </t>
  </si>
  <si>
    <t>Corpo de BSTC D = 0,40 m CA2 - areia, brita e pedra de mão comerciais - Rua Ceciliano Abel de Almeida</t>
  </si>
  <si>
    <t xml:space="preserve">Escoramento cavas com prancha metalica - Rua Lourenço Sales </t>
  </si>
  <si>
    <t>Escoramento cavas com prancha metalica  - Rua Ceciliano Abel de Almeida</t>
  </si>
  <si>
    <t>Contratada</t>
  </si>
  <si>
    <t>Subcontratada</t>
  </si>
  <si>
    <t>Dar continuidade nas ações de controle ambiental para mitigar os impactos de emissão de gases e ruídos dos equipamentos, máquinas e veículos.</t>
  </si>
  <si>
    <t>Há profissionais que fazem a limpeza do canteiro?</t>
  </si>
  <si>
    <t>Os materiais inflamáveis estão convenientemente isolados?</t>
  </si>
  <si>
    <t>O material utilizado para a construção de andaimes está em boas condições?</t>
  </si>
  <si>
    <t xml:space="preserve">Agrupamento de CNAE: C18a
CIPA não constituída de acordo com a NR 05. Entretanto, há enquadramento no quadro I. A empresa designará um responsável pelo cumprimento dos objetivos desta NR. 
</t>
  </si>
  <si>
    <t>A empresa apresentou o documento seguindo as orientações da NR, 07, o vencimento do Programa é anualmente de acordo com a data vigente</t>
  </si>
  <si>
    <t>Manter o PGR atualizado e à disposição no canteiro de obras.</t>
  </si>
  <si>
    <t>• As construções vizinhas à obra de demolição foram examinadas, prévia e periodicamente, no sentido de preservar sua estabilidade e a integridade física de terceiros;
• Área da demolição devidamente sinalizada e isolada não sendo permitida a presença de terceiros no local.
• Elementos frágeis foram removidos antes de se iniciar a demolição;
Demolição realizada mediante o emprego de dispositivos mecânicos;
• Os materiais das edificações, durante a demolição e remoção, foram previamente umedecidos.</t>
  </si>
  <si>
    <t>Os locais onde são realizadas as atividades de escavação, fundação e desmonte de rochas, quando houver riscos devem ter sinalização de advertência, inclusive noturna, e barreira de isolamento em todo o seu perímetro de modo a impedir a entrada de veículos e pessoas não autorizadas.</t>
  </si>
  <si>
    <t>Realizar Treinamentos e DDS, com todos os colaboradores envolvidos nas atividades, disponibilizando todos os EPI's necessários para desenvolver suas atribuições com segurança</t>
  </si>
  <si>
    <t>São adotadas medidas para proteger os trabalhadores contra insolação excessiva, calor, frio, umidade e ventos inconvenientes.</t>
  </si>
  <si>
    <t>32 - A obra é sinalizada de acordo com o IPR 738/2010 - Manual de Sinalização de Obras e Emergências em Rodovias - DNIT</t>
  </si>
  <si>
    <t>LD/LE</t>
  </si>
  <si>
    <t>TAMPÃO ø600</t>
  </si>
  <si>
    <t>Conforme Folha de Cubação e seções 
Anexo Fl. SEC-01 e l. SEC-02</t>
  </si>
  <si>
    <t xml:space="preserve">Pagamento somente da remoção do paralelepípedo </t>
  </si>
  <si>
    <t>Estorno</t>
  </si>
  <si>
    <t>Tampa Removivél - Tela Q 196</t>
  </si>
  <si>
    <t xml:space="preserve">Tampas Removíveis </t>
  </si>
  <si>
    <t>Barrra de ¢ 12,5mm  Negativo/Positivo</t>
  </si>
  <si>
    <t>Reforço Horizonal   ¢   12,5mm</t>
  </si>
  <si>
    <t>Reforço Vertical     ¢   12,5mm</t>
  </si>
  <si>
    <t xml:space="preserve">Forma tampas removiveis  (Fundo) </t>
  </si>
  <si>
    <t>Forma tampas removiveis  (Lateral)</t>
  </si>
  <si>
    <t>Compactador Manual</t>
  </si>
  <si>
    <t>Automóvel</t>
  </si>
  <si>
    <t>1 - Conforme a NR 05 foi criada, organizada e estabelecida na obra, a Comissão Interna de Prevenção de Acidentes (CIPA), sendo seu corpo formado por representantes da parte do empregador e seus empregados de acordo com o dimensionamento previsto no Quadro I desta NR</t>
  </si>
  <si>
    <t>Conclui-se que o relatório no que tange a Verificação do Atendimento aos Procedimentos de Segurança, Higiene e Medicina do Trabalho, referente a obra de assentamento de Galerias está adequado.
Atentar-se para as corretas soluções dos itens descrito neste relatório com as recomendações, que são de extrema importância para a preservação da saúde e segurança dos colaboradores, direta e indiretamente na execução do serviço prestados.</t>
  </si>
  <si>
    <r>
      <rPr>
        <b/>
        <sz val="10"/>
        <color theme="1"/>
        <rFont val="Arial"/>
        <family val="2"/>
      </rPr>
      <t>NR:</t>
    </r>
    <r>
      <rPr>
        <sz val="10"/>
        <color theme="1"/>
        <rFont val="Arial"/>
        <family val="2"/>
      </rPr>
      <t xml:space="preserve"> Normas Regulamentadoras de Segurança e Saúde no Trabalho do Ministério do Trabalho e Emprego
</t>
    </r>
    <r>
      <rPr>
        <b/>
        <sz val="10"/>
        <color theme="1"/>
        <rFont val="Arial"/>
        <family val="2"/>
      </rPr>
      <t>NR 04</t>
    </r>
    <r>
      <rPr>
        <sz val="10"/>
        <color theme="1"/>
        <rFont val="Arial"/>
        <family val="2"/>
      </rPr>
      <t xml:space="preserve"> - Serviços Especializados em Engenharia de Segurança e em Medicina do Trabalho
</t>
    </r>
    <r>
      <rPr>
        <b/>
        <sz val="10"/>
        <color theme="1"/>
        <rFont val="Arial"/>
        <family val="2"/>
      </rPr>
      <t>NR 05</t>
    </r>
    <r>
      <rPr>
        <sz val="10"/>
        <color theme="1"/>
        <rFont val="Arial"/>
        <family val="2"/>
      </rPr>
      <t xml:space="preserve"> - Comissão Interna de Prevenção de Acidentes
</t>
    </r>
    <r>
      <rPr>
        <b/>
        <sz val="10"/>
        <color theme="1"/>
        <rFont val="Arial"/>
        <family val="2"/>
      </rPr>
      <t>NR 06</t>
    </r>
    <r>
      <rPr>
        <sz val="10"/>
        <color theme="1"/>
        <rFont val="Arial"/>
        <family val="2"/>
      </rPr>
      <t xml:space="preserve"> - Equipamentos de Proteção Individual
</t>
    </r>
    <r>
      <rPr>
        <b/>
        <sz val="10"/>
        <color theme="1"/>
        <rFont val="Arial"/>
        <family val="2"/>
      </rPr>
      <t>NR 07</t>
    </r>
    <r>
      <rPr>
        <sz val="10"/>
        <color theme="1"/>
        <rFont val="Arial"/>
        <family val="2"/>
      </rPr>
      <t xml:space="preserve"> - Programa de Controle Médico de Saúde Ocupacional
</t>
    </r>
    <r>
      <rPr>
        <b/>
        <sz val="10"/>
        <color theme="1"/>
        <rFont val="Arial"/>
        <family val="2"/>
      </rPr>
      <t>NR 09</t>
    </r>
    <r>
      <rPr>
        <sz val="10"/>
        <color theme="1"/>
        <rFont val="Arial"/>
        <family val="2"/>
      </rPr>
      <t xml:space="preserve"> - Programa de Prevenção de Riscos Ambientais
</t>
    </r>
    <r>
      <rPr>
        <b/>
        <sz val="10"/>
        <color theme="1"/>
        <rFont val="Arial"/>
        <family val="2"/>
      </rPr>
      <t>NR 10</t>
    </r>
    <r>
      <rPr>
        <sz val="10"/>
        <color theme="1"/>
        <rFont val="Arial"/>
        <family val="2"/>
      </rPr>
      <t xml:space="preserve"> - Segurança em Instalações e Serviços em Eletricidade
</t>
    </r>
    <r>
      <rPr>
        <b/>
        <sz val="10"/>
        <color theme="1"/>
        <rFont val="Arial"/>
        <family val="2"/>
      </rPr>
      <t>NR 11</t>
    </r>
    <r>
      <rPr>
        <sz val="10"/>
        <color theme="1"/>
        <rFont val="Arial"/>
        <family val="2"/>
      </rPr>
      <t xml:space="preserve"> - Transporte, Movimentação, Armazenagem e Manuseio de Materiais
</t>
    </r>
    <r>
      <rPr>
        <b/>
        <sz val="10"/>
        <color theme="1"/>
        <rFont val="Arial"/>
        <family val="2"/>
      </rPr>
      <t>NR 12</t>
    </r>
    <r>
      <rPr>
        <sz val="10"/>
        <color theme="1"/>
        <rFont val="Arial"/>
        <family val="2"/>
      </rPr>
      <t xml:space="preserve"> - Segurança no Trabalho em Máquinas e Equipamentos
</t>
    </r>
    <r>
      <rPr>
        <b/>
        <sz val="10"/>
        <color theme="1"/>
        <rFont val="Arial"/>
        <family val="2"/>
      </rPr>
      <t>NR 15</t>
    </r>
    <r>
      <rPr>
        <sz val="10"/>
        <color theme="1"/>
        <rFont val="Arial"/>
        <family val="2"/>
      </rPr>
      <t xml:space="preserve"> - Atividades e Operações Insalubres
</t>
    </r>
    <r>
      <rPr>
        <b/>
        <sz val="10"/>
        <color theme="1"/>
        <rFont val="Arial"/>
        <family val="2"/>
      </rPr>
      <t>NR 17</t>
    </r>
    <r>
      <rPr>
        <sz val="10"/>
        <color theme="1"/>
        <rFont val="Arial"/>
        <family val="2"/>
      </rPr>
      <t xml:space="preserve"> - Ergonomia
</t>
    </r>
    <r>
      <rPr>
        <b/>
        <sz val="10"/>
        <color theme="1"/>
        <rFont val="Arial"/>
        <family val="2"/>
      </rPr>
      <t>NR 18</t>
    </r>
    <r>
      <rPr>
        <sz val="10"/>
        <color theme="1"/>
        <rFont val="Arial"/>
        <family val="2"/>
      </rPr>
      <t xml:space="preserve"> - Condições e Meio Ambiente de Trabalho na Indústria da Construção
</t>
    </r>
    <r>
      <rPr>
        <b/>
        <sz val="10"/>
        <color theme="1"/>
        <rFont val="Arial"/>
        <family val="2"/>
      </rPr>
      <t>NR 21</t>
    </r>
    <r>
      <rPr>
        <sz val="10"/>
        <color theme="1"/>
        <rFont val="Arial"/>
        <family val="2"/>
      </rPr>
      <t xml:space="preserve"> - Trabalhos a Céu Aberto
</t>
    </r>
    <r>
      <rPr>
        <b/>
        <sz val="10"/>
        <color theme="1"/>
        <rFont val="Arial"/>
        <family val="2"/>
      </rPr>
      <t>NR 23</t>
    </r>
    <r>
      <rPr>
        <sz val="10"/>
        <color theme="1"/>
        <rFont val="Arial"/>
        <family val="2"/>
      </rPr>
      <t xml:space="preserve"> - Proteção contra Incêndios
</t>
    </r>
    <r>
      <rPr>
        <b/>
        <sz val="10"/>
        <color theme="1"/>
        <rFont val="Arial"/>
        <family val="2"/>
      </rPr>
      <t>NR 33</t>
    </r>
    <r>
      <rPr>
        <sz val="10"/>
        <color theme="1"/>
        <rFont val="Arial"/>
        <family val="2"/>
      </rPr>
      <t xml:space="preserve"> - Segurança e Saúde nos Trabalhos em Espaços Confinados
</t>
    </r>
    <r>
      <rPr>
        <b/>
        <sz val="10"/>
        <color theme="1"/>
        <rFont val="Arial"/>
        <family val="2"/>
      </rPr>
      <t>NR 35</t>
    </r>
    <r>
      <rPr>
        <sz val="10"/>
        <color theme="1"/>
        <rFont val="Arial"/>
        <family val="2"/>
      </rPr>
      <t xml:space="preserve"> - Trabalho em Altura
</t>
    </r>
    <r>
      <rPr>
        <b/>
        <sz val="10"/>
        <color theme="1"/>
        <rFont val="Arial"/>
        <family val="2"/>
      </rPr>
      <t xml:space="preserve">Dimensionamento de CIPA: </t>
    </r>
    <r>
      <rPr>
        <sz val="10"/>
        <color theme="1"/>
        <rFont val="Arial"/>
        <family val="2"/>
      </rPr>
      <t>De acordo com o CNAE - Classificação Nacional de Atividades Econômicas da empresa, encontra-se o agrupamento de setores no Quadro II da NR 05. Junta-se o agrupamento de CNAE e o número de funcionários para a verificação no Quadro 1 da NR 05 sobre necessidade ou não do estabelecimento da CIPA.</t>
    </r>
  </si>
  <si>
    <t>15.1.1.   Checklist de Padrões e Rotinas de Inspeção Planejadas de Segurança</t>
  </si>
  <si>
    <r>
      <t xml:space="preserve">INFORMAÇÕES: </t>
    </r>
    <r>
      <rPr>
        <sz val="11"/>
        <color theme="1"/>
        <rFont val="Arial"/>
        <family val="2"/>
      </rPr>
      <t>Visita de Inspeção diárias pelo Eng. Residente</t>
    </r>
  </si>
  <si>
    <t>Com base em Inspeção de Supervisão Técnica, quanto ao cumprimento de procedimentos.</t>
  </si>
  <si>
    <t>1° Termo Aditivo ( Prazo)</t>
  </si>
  <si>
    <t>Prazo vigência inicial 273 dias ( 9 meses)</t>
  </si>
  <si>
    <t>Prazo Execução inicial 183 dias ( 6 meses)</t>
  </si>
  <si>
    <t>Ordem de inicio</t>
  </si>
  <si>
    <t>Vigência do Contrato</t>
  </si>
  <si>
    <t>1°  prazo aditivo vigência</t>
  </si>
  <si>
    <t>Execução</t>
  </si>
  <si>
    <t>91 dias</t>
  </si>
  <si>
    <t>ADITIVO DE PRAZO</t>
  </si>
  <si>
    <t>ACUMULADO ATÉ 31/05/2023:</t>
  </si>
  <si>
    <t>Ajustado valor da densidade pelos ensaios realizados no local.</t>
  </si>
  <si>
    <t>Ajustado valor do empolamento pelos ensaios realizados no local.</t>
  </si>
  <si>
    <t>Laje Superior as galerias</t>
  </si>
  <si>
    <t>(Kg/peça)</t>
  </si>
  <si>
    <t>CMRF 03/5222-08</t>
  </si>
  <si>
    <t>JUNHO</t>
  </si>
  <si>
    <t>RESUMO DO MÊS: JUNHO</t>
  </si>
  <si>
    <t>ACUMULADO ATÉ 30/06/2023:</t>
  </si>
  <si>
    <t>Item 12 do presente relatório CMRF 03/5222-08.</t>
  </si>
  <si>
    <t>Item 13 do presente relatório CMRF 03/5222-08.</t>
  </si>
  <si>
    <t>JUNHO/2023</t>
  </si>
  <si>
    <t>SERVIÇOS NOVOS</t>
  </si>
  <si>
    <t>3.1</t>
  </si>
  <si>
    <t>3.1.1</t>
  </si>
  <si>
    <t>COMPOSIÇÃO</t>
  </si>
  <si>
    <t>3.2</t>
  </si>
  <si>
    <t>GALERIA GUARANHUS 1 E 2</t>
  </si>
  <si>
    <t>3.2.1</t>
  </si>
  <si>
    <t>Elementos de madeira para sinalização - cavaletes</t>
  </si>
  <si>
    <t>3.2.2</t>
  </si>
  <si>
    <t>Sinalização vertical com chapa em esmalte sintético</t>
  </si>
  <si>
    <t>3.2.3</t>
  </si>
  <si>
    <t>Tela de proteção de segurança de PVC cor laranja com suporte para sinalização de obras</t>
  </si>
  <si>
    <t>3.2.4</t>
  </si>
  <si>
    <t>Tela de aço soldada Telcon Q-138 ou similar, fornecimento e assentamento.</t>
  </si>
  <si>
    <t>3.2.5</t>
  </si>
  <si>
    <t>Caixa ralo em blocos pré-moldados e grelha articulada em FFA em Vias Urbanas</t>
  </si>
  <si>
    <t>3.2.6</t>
  </si>
  <si>
    <t>3.2.7</t>
  </si>
  <si>
    <t>3.2.8</t>
  </si>
  <si>
    <t>3.2.9</t>
  </si>
  <si>
    <t>3.2.10</t>
  </si>
  <si>
    <t>3.2.11</t>
  </si>
  <si>
    <t>Pavimentação com blocos de concreto (35 MPa), esp.=08cm, sobre colchão de areia 5cm, inclusive fornecim. e transporte blocos e areia, em Vias Urbanas</t>
  </si>
  <si>
    <t>3.2.12</t>
  </si>
  <si>
    <t>Meio fio (remoção e reassentamento), inclusive caiação</t>
  </si>
  <si>
    <t>3.2.13</t>
  </si>
  <si>
    <t>Meio fio de concreto pré-moldado (12 x 30 x 15) cm, inclusive caiação e transporte do meio fio</t>
  </si>
  <si>
    <t>Equipe de pavimentção</t>
  </si>
  <si>
    <t>01/06/2023 a 27/06/2023</t>
  </si>
  <si>
    <t>2.4.2 - Remoção e reassentamento de paralelepípedos, inclusive perdas em Vias Urbanas</t>
  </si>
  <si>
    <t>Calçadas</t>
  </si>
  <si>
    <t>Quando a empresa não possuir o número necessário de empregados para constituir sua comissão de forma convencional: com cronograma, eleição, votação, atas de reuniões, entre outras. Será realizado conforme consta no dimensionamento do quadro 1 da NR 05:
 - O empregador deve indicar um “Designado para Cipa”.</t>
  </si>
  <si>
    <t>Realizar diariamente inspeções de rotinas verificando o uso, a guarda e conservação dos EPI's. Promover campanhas favoráveis quanto ao uso dos mesmos. Também, realizar semanalmente DDS com temas voltados à obrigatoriedade dos mesmos.</t>
  </si>
  <si>
    <t>A Empresa Andares Construção Civil Eireli faz uso adequado de todos os Equipamentos de Proteção Individual inerentes à função. Devido a isto, os empregados portam: máscara de proteção respiratória, uniforme de manga comprida, luvas resistentes, botinas de segurança resistentes, capacete de segurança, óculos com lentes de acordo a intensidade da luminosidade e protetores auriculares tipo concha. 
Os operadores das máquinas (máquinas que não dispunham de cabine acústica) envolvidas no serviço, também faziam uso de protetores auriculares e máscara de proteção facial.
Para proteção do calor, os trabalhadores utilizam toucas árabes e protetor solar (creme).</t>
  </si>
  <si>
    <t>Os Equipamentos de Proteção Individual além de essenciais à proteção do trabalhador, visando a manutenção de sua saúde física e proteção contra os riscos de acidentes do trabalho e/ou de doenças profissionais e do trabalho, podem também proporcionar a redução de custos ao empregador.
O empregador deve utilizar-se de seu poder diretivo e obrigar o empregado a utilizar o equipamento, sob pena de advertência e suspensão num primeiro momento e, havendo reincidências, sofrer punições mais severas.
O não uso do EPI, além de ser um ato de insubordinação do empregado, coloca em risco a sua própria saúde.
É de responsabilidade do empregador também, cercar seus empregados e das subcontratadas, quando houver, das garantias e proteção legais da Legislação Trabalhista, inclusive em relação a higiene, segurança e medicina do trabalho, fornecendo os adequados EPI's a todos os componentes de suas equipes de trabalho ou aqueles que por qualquer motivos estejam envolvidos com o serviço, de acordo com o disposto no Contrato de Empreitada nº 52/2022.</t>
  </si>
  <si>
    <t>5 - A NR 01 estabelece a obrigatoriedade da elaboração e implementação por parte do empregador do Programa: PGR (Programa de Gerenciamento de Risco) visando a preservação da acidente de Trabalho no canteiro de obras Contemplando os Riscos Ocupacionais e suas respectivas medidas de prevenção</t>
  </si>
  <si>
    <t>A Empresa Andares Construção Civil Eireli elaborou o PGR seguindo as seguintes orientações: 
NR 18.4.1. É obrigatório a elaboração e a implementação do PGR nos canteiros de obras, contemplando os riscos ocupacionais e suas respectivas medidas de prevenção.
NR 18.4.2 O PGR deve ser elaborado por profissional legalmente habilitado em segurança do trabalho e implementado sob responsabilidade da organização.</t>
  </si>
  <si>
    <t>• Vias de circulação das máquinas e equipamentos desobstruídas;
• Sinalização de segurança para advertir os trabalhadores e terceiros sobre os riscos a que estão expostos;
• Os operadores das máquinas e equipamentos são treinados para opera-los;
• Os botões de parada de emergência das máquinas e equipamentos são visíveis e estão situados próximos ao operador.</t>
  </si>
  <si>
    <t xml:space="preserve">Este treinamento, será obrigatório para todos os colaboradores que trabalham operando máquinas e equipamentos não sendo permitido suas atribuições sem antes passar por esse treinamento. </t>
  </si>
  <si>
    <t>Riscos identificados no PGR, integrado por função e descrição da atividade. Assim, é informado a qual risco o trabalhador está exposto (o agente, o tipo de avaliação, o limite de tolerância encontrado, a fonte geradora, meios de propagação, possíveis danos e medidas preventivas).</t>
  </si>
  <si>
    <t>O canteiro de obras, mobilizado para o endereço: Rua Lourenço Salles, nº 19, Bairro Nova Itaparica, Vila Velha - ES. Contendo as seguintes instalações:
- Almoxarifado;
- Vestiários;
- Banheiros;
- Administração;
- Sala Técnica / Engenharia / Mestre;
- Refeitório; 
- Fiscalização;
- Depósito e
- Carpintaria.
Se atentar para o estado de conservação dos armários disponibilizados aos funcionários no vestiário. 
Cumprir o disposto no subitem 18.4.2.9.3 da NR 18.</t>
  </si>
  <si>
    <r>
      <rPr>
        <b/>
        <sz val="10"/>
        <color theme="1"/>
        <rFont val="Arial"/>
        <family val="2"/>
      </rPr>
      <t xml:space="preserve">18.4.2.9.3 Os vestiários devem:
</t>
    </r>
    <r>
      <rPr>
        <sz val="10"/>
        <color theme="1"/>
        <rFont val="Arial"/>
        <family val="2"/>
      </rPr>
      <t xml:space="preserve">
a) ter paredes de alvenaria, madeira ou material equivalente;
b) ter pisos de concreto, cimentado, madeira ou material equivalente;
c) ter cobertura que proteja contra as intempéries;
d) ter área de ventilação correspondente a 1/10 (um décimo) de área do piso;
e) ter iluminação natural e/ou artificial;
f) ter armários individuais dotados de fechadura ou dispositivo com cadeado;
g) ter pé direito mínimo de 2,50m (dois metros e cinquenta centímetros);
h) ser mantido em perfeito estado de conservação, higiene e limpeza;
i) ter bancos em número suficiente para atender aos usuários, com largura mínima de 0,30m (trinta centímetros).</t>
    </r>
  </si>
  <si>
    <t>Durante a desforma devem ser viabilizados meios que impeçam a queda livre de seções de formas e escoramentos, sendo obrigatórios a amarração das peças e o isolamento e sinalização ao nível do terreno.</t>
  </si>
  <si>
    <t>Os cabos são inspecionados, testados e vistoriados semanalmente. 
Possuem formulário em formato checklist.</t>
  </si>
  <si>
    <t>O canteiro de obras deve ser sinalizado com o objetivo de:
a) identificar os locais de apoio que compõem o canteiro de obras;
b) indicar as saídas por meio de dizeres ou setas;
c) manter comunicação através de avisos, cartazes ou similares;
d) advertir contra perigo de contato ou acionamento acidental com partes móveis das máquinas e equipamentos;
e) advertir quanto a risco de queda;
f) alertar quanto à obrigatoriedade do uso de EPI, específico para a atividade executada, com a devida sinalização e advertência próximas ao posto de trabalho;
g) alertar quanto ao isolamento das áreas de transporte e circulação de materiais por grua, guincho e guindaste;
h) identificar acessos, circulação de veículos e equipamentos na obra.</t>
  </si>
  <si>
    <t>Todos os empregados devem receber treinamentos admissional e periódico, visando garantir a execução de suas atividades com segurança.</t>
  </si>
  <si>
    <t xml:space="preserve">Fazer valer as exigências contidas na NR 21. São elas :
- Colocar tendas, cabines ou outra forma de abrigo, ainda que provisório, para que os trabalhadores se protejam em caso de chuva, vento ou sol forte. </t>
  </si>
  <si>
    <t>• A sinalização apropriada de equipamentos de combate a incêndios deve estar a uma altura de 1,80m (um metro e oitenta centímetros), medida do piso acabado à base da sinalização;
• A demarcação do solo deverá ser de 1m² (um metro quadrado), em um campo vermelho de 70 cm² (setenta centímetros quadrados) ladeado por faixas de 15 cm (quinze centímetros) na cor amarela;
• Manter os extintores revisados e dentro da validade para que em caso de sinistro, os mesmos possam ser utilizados com segurança.</t>
  </si>
  <si>
    <t>A contratada é obrigada a fornecer uniformes aos seus colaboradores.
O uniforme entende-se por uma vestimenta adequada para o tipo de trabalho exercido, a fim de identificar melhor a própria equipe.</t>
  </si>
  <si>
    <t>Avaliar o cumprimento das recomendações dispostas nos itens:
01 - Todos os Procedimento de Segurança estão de acordo com as orientações da NR 18.
02 -  A obra esta sinalizada de acordo com o IPR 738/2010 - Manual de Sinalização de Obras e Emergências em Rodovias - DNIT</t>
  </si>
  <si>
    <t>Canteiro de obras apresenta sistema de tratamento PV.</t>
  </si>
  <si>
    <t xml:space="preserve">A empresa está cumprindo o disposto no Plano de Gerenciamento de Resíduos Sólidos da obra. </t>
  </si>
  <si>
    <t xml:space="preserve">Lig Pred Esg Curta C/Mat S/Pav H0,6A1,0M </t>
  </si>
  <si>
    <t>Elaboração de PGR (Programa de Gerenciamento de Resíduos)</t>
  </si>
  <si>
    <t>3.2.11 - Pavimentação com blocos de concreto (35 MPa), esp.=08cm, sobre colchão de areia 5cm</t>
  </si>
  <si>
    <r>
      <t xml:space="preserve">PERÍODO: </t>
    </r>
    <r>
      <rPr>
        <sz val="12"/>
        <rFont val="Calibri"/>
        <family val="2"/>
        <scheme val="minor"/>
      </rPr>
      <t>01/06/2023 a 27/06/2023</t>
    </r>
  </si>
  <si>
    <t>Placa IEMA</t>
  </si>
  <si>
    <t xml:space="preserve">Aquisição de solo de jazida comercial (saibreira) - Rua Lourenço Sales </t>
  </si>
  <si>
    <t>Aquisição de solo de jazida comercial (saibreira) - Rua Ceciliano Abel de Almeida</t>
  </si>
  <si>
    <t>Transporte de materiais para DMT acima de 15 KM (Caminhão basculante) - solo de jazida comercial (saibreira) - Rua Lourenço Sales</t>
  </si>
  <si>
    <t>Transporte de materiais para DMT acima de 15 KM (Caminhão basculante) - solo de jazida comercial (saibreira) - Rua Ceciliano Abel de Almeida</t>
  </si>
  <si>
    <t xml:space="preserve">Demolição de galerias existentes </t>
  </si>
  <si>
    <t xml:space="preserve">Caixa Ralo – Rua Ceciliano Abel de Almeida </t>
  </si>
  <si>
    <t>Caixa Ralo – Rua Lourenço Sales</t>
  </si>
  <si>
    <t xml:space="preserve">Assentamento Transversal </t>
  </si>
  <si>
    <t>IMPLANTAÇÃO CANTEIRO DE OBRAS</t>
  </si>
  <si>
    <t>GALERIA GARANHUNS 1 E 2</t>
  </si>
  <si>
    <t>2° Termo Aditivo (Valor)</t>
  </si>
  <si>
    <r>
      <t xml:space="preserve">ATUALIZAÇÃO: </t>
    </r>
    <r>
      <rPr>
        <sz val="14"/>
        <rFont val="Arial"/>
        <family val="2"/>
      </rPr>
      <t>27/06/2023</t>
    </r>
  </si>
  <si>
    <t>Quantitativo do Item foi insuficiente</t>
  </si>
  <si>
    <t>Esgotamento de água com bomba submersa - Nov/22</t>
  </si>
  <si>
    <t>Esgotamento de água com bomba submersa - Dez/22</t>
  </si>
  <si>
    <t>Esgotamento de água com bomba submersa - Jan/23</t>
  </si>
  <si>
    <t>Esgotamento de água com bomba submersa - Fev/23</t>
  </si>
  <si>
    <t>Esgotamento de água com bomba submersa - Mar/23</t>
  </si>
  <si>
    <t>Esgotamento de água com bomba submersa - Jun/23</t>
  </si>
  <si>
    <t>Rebaixamento de lencol freatico com pont filtrantes - Jun/23</t>
  </si>
  <si>
    <t>Rebaixamento de lencol freatico com pont filtrantes - Mai/23</t>
  </si>
  <si>
    <t>Rebaixamento de lencol freatico com pont filtrantes - Abr/23</t>
  </si>
  <si>
    <t>Esgotamento de água com bomba submersa - Abr/23</t>
  </si>
  <si>
    <t>Esgotamento de água com bomba submersa - Mai/23</t>
  </si>
  <si>
    <t xml:space="preserve">Desmobilização de conteiner locado </t>
  </si>
  <si>
    <t xml:space="preserve">Mobilização de conteiner locado </t>
  </si>
  <si>
    <t>DENSIDADE
(t/m³)</t>
  </si>
  <si>
    <t xml:space="preserve">Documento em anexo. </t>
  </si>
  <si>
    <t>Placa de Obras (Atenção - Trânsito Impedido)</t>
  </si>
  <si>
    <t>Placa de Obras (Atenção - Somente Trânsito Local)</t>
  </si>
  <si>
    <t>Placa de Obras (Atenção - Máquinas na Pista)</t>
  </si>
  <si>
    <t>Placa de Obras (Atenção - Desvio a Direita)</t>
  </si>
  <si>
    <t>Placa de Obras (Atenção - Desvio a Esquerda)</t>
  </si>
  <si>
    <t>Placa de Obras (Obras a 50 metros)</t>
  </si>
  <si>
    <t>Placa de Obras (Obras a 100 metros)</t>
  </si>
  <si>
    <t>Placa de Obras (Atenção - Trecho em Obras)</t>
  </si>
  <si>
    <t>Placa de Obras (Atenção -  Reduza a Velocidade)</t>
  </si>
  <si>
    <t>Placa de Obras (Desculpem-nos pelo transtorno)</t>
  </si>
  <si>
    <t xml:space="preserve">Tela de Proteção de Segurança (Escavação da Galeria BSCC 2,50x1,50m) - Rua Ceciliano Abel de Almeida </t>
  </si>
  <si>
    <t>Tela de Proteção de Segurança (Escavação da Galeria BSCC 2,50x1,50m) - Rua Lourenço Sales</t>
  </si>
  <si>
    <t>Rede Esg PVC NBR 7362 150 até 1,25m s/Pav</t>
  </si>
  <si>
    <t>Rede Esg PVC NBR 7362 200 até 1,25m s/Pav</t>
  </si>
  <si>
    <t>Rede Água PVC PBA 15 Dn 50 s/Pav</t>
  </si>
  <si>
    <t>Lig Pred Água DN 20, C/ Colar, s/Pav</t>
  </si>
  <si>
    <t>Lig Pred Água - Rua Ceciliano Abel de Almeida</t>
  </si>
  <si>
    <t>Lig Pred Água - Rua Lourenço Sales</t>
  </si>
  <si>
    <t>Rede Água - Rua Ceciliano Abel de Almeida</t>
  </si>
  <si>
    <t>Rede Água - Rua Lourenço Sales</t>
  </si>
  <si>
    <t>Rede de Esgoto - Rua Lourenço Sales</t>
  </si>
  <si>
    <t>Rede de Esgoto - Rua Ceciliano Abel de Almeida</t>
  </si>
  <si>
    <t xml:space="preserve">Tampão FOFO articulado </t>
  </si>
  <si>
    <t>Poço de visita - PVI 02 – Rua Lourenço Sales</t>
  </si>
  <si>
    <t xml:space="preserve">Poço de visita - PVI 02 – Rua Ceciliano Abel de Almeida </t>
  </si>
  <si>
    <t xml:space="preserve">Demolição de PV – Rua Ceciliano Abel de Almeida </t>
  </si>
  <si>
    <t>Demolição de PV – Rua Lourenço Sales</t>
  </si>
  <si>
    <t xml:space="preserve">Poço de visita – Rua Ceciliano Abel de Almeida </t>
  </si>
  <si>
    <t xml:space="preserve">Transporte - Rua Lourenço Sales </t>
  </si>
  <si>
    <t>Transporte - Rua Ceciliano Abel de Almeida</t>
  </si>
  <si>
    <t>COMPRIMENTO (m)</t>
  </si>
  <si>
    <t>ESPESSURA
(m)</t>
  </si>
  <si>
    <t>Linear de Drenagem Anexo - Fl. DR-01</t>
  </si>
  <si>
    <t>Linear de Drenagem Anexo - Fl. DR-02</t>
  </si>
  <si>
    <t>Linear de Drenagem Anexo - Fl. DR-04</t>
  </si>
  <si>
    <t>Linear de Drenagem Anexo - Fl. DR-05</t>
  </si>
  <si>
    <t>Concreto fck = 30 MPa - Calçada Rua Ceciliano Abel de Almeida</t>
  </si>
  <si>
    <t xml:space="preserve">Concreto fck = 30 MPa - Calçada Rua Lourenço Sales </t>
  </si>
  <si>
    <t>Serviço de bombeamento - Calçada Rua Ceciliano Abel de Almeida</t>
  </si>
  <si>
    <t xml:space="preserve">Serviço de bombeamento - Calçada Rua Lourenço Sales </t>
  </si>
  <si>
    <t>Linear de Drenagem Anexo - Fl. DR-01 e DR-02</t>
  </si>
  <si>
    <t>Linear de Drenagem Anexo - Fl. DR-02 e DR-03</t>
  </si>
  <si>
    <t>Meio fio de concreto - Rua Ceciliano Abel de Almeida</t>
  </si>
  <si>
    <t>Meio fio de concreto - Rua Lourenço Sales</t>
  </si>
  <si>
    <t xml:space="preserve">Rua Lourenço Sales - Galerias Abertas </t>
  </si>
  <si>
    <t>Laje Superior as galerias - solicitada pela SEDURB</t>
  </si>
  <si>
    <t xml:space="preserve">Item com quantitativo insuficiente </t>
  </si>
  <si>
    <t>Pavimentação com blocos de concreto (35 MPa), esp.=08cm, sobre colchão de areia 5cm, inclusive fornecim. e transporte blocos e areia, em Vias Urbanas - Rua Ceciliano Abel</t>
  </si>
  <si>
    <t>Pavimentação com blocos de concreto (35 MPa), esp.=08cm, sobre colchão de areia 5cm, inclusive fornecim. e transporte blocos e areia, em Vias Urbanas - Rua Lourenço Sales</t>
  </si>
  <si>
    <t>ÍNDICE DE REAPROVEITAMENTO</t>
  </si>
  <si>
    <t>Meio fio (Remoção e Reassentamento) - Rua Lourenço Sales</t>
  </si>
  <si>
    <t>Meio fio (Remoção e Reassentamento) - Rua Ceciliano Abel de Almeida</t>
  </si>
  <si>
    <t>LE/LD</t>
  </si>
  <si>
    <t>Meio fio de concreto - Rua Ceciliano Abel de Almeida - Travessão</t>
  </si>
  <si>
    <t>Rua Lourenço Sales</t>
  </si>
  <si>
    <t>(g/cm³)</t>
  </si>
  <si>
    <t>Tela de aço soldada Telcon Q-138 ou Similar, fornecimento e assentamento - Calçada Rua Ceciliano Abel de Almeida</t>
  </si>
  <si>
    <t xml:space="preserve">Tela de aço soldada Telcon Q-138 ou Similar, fornecimento e assentamento - Calçada Rua Lourenço Sales </t>
  </si>
  <si>
    <t>Fiscal do Contrato - SEDURB</t>
  </si>
  <si>
    <t>Conforme Folha de Cubação e seções 
Anexo Fl. SEC-01 a Fl. SEC-03</t>
  </si>
  <si>
    <t>Linear de Drenagem Anexo - Fl. DR-03</t>
  </si>
  <si>
    <t>T-01, 02, 03, 04, 05 e 06</t>
  </si>
  <si>
    <r>
      <t xml:space="preserve">OBS.: </t>
    </r>
    <r>
      <rPr>
        <sz val="10"/>
        <color rgb="FF0000FF"/>
        <rFont val="Times New Roman"/>
        <family val="1"/>
      </rPr>
      <t>Prorrogação do prazo de vigência do Contrato n.º 052/2022, por mais 03 (três) meses, a contar de 12/05/2023, e do prazo de execução por mais 03 (três) meses a contar de 15/03/2023.</t>
    </r>
  </si>
  <si>
    <r>
      <t>OBS.:</t>
    </r>
    <r>
      <rPr>
        <sz val="10"/>
        <rFont val="Times New Roman"/>
        <family val="1"/>
      </rPr>
      <t xml:space="preserve"> </t>
    </r>
    <r>
      <rPr>
        <sz val="10"/>
        <color rgb="FF0000FF"/>
        <rFont val="Times New Roman"/>
        <family val="1"/>
      </rPr>
      <t>Prorrogação do prazo de vigência do Contrato n.º 052/2022, por mais 30 (trinta) dias, a contar de 13/08/2023. A vigência do Contrato nº 052/2023 ora aditado, que se encerraria em 12/08/2023 passará a se encerrar em 12/09/2023.</t>
    </r>
  </si>
  <si>
    <r>
      <t xml:space="preserve">OBS.: </t>
    </r>
    <r>
      <rPr>
        <sz val="10"/>
        <color rgb="FF0000FF"/>
        <rFont val="Times New Roman"/>
        <family val="1"/>
      </rPr>
      <t xml:space="preserve">Acréscimo no valor de R$ 716.373,96  que representa um percentual de aumento de 24,67% ao valor do contrato, passando o novo valor contratual para o montante de R$ 3.620.288,79. </t>
    </r>
  </si>
  <si>
    <t>Prazo de Vigência Inicial</t>
  </si>
  <si>
    <t>Prazo de Vigência Final</t>
  </si>
  <si>
    <t>Prazo de Execução Inicial</t>
  </si>
  <si>
    <t>Prazo de Execução Final</t>
  </si>
  <si>
    <t>2º Aditivo (Valor)</t>
  </si>
  <si>
    <t>3º Aditivo (Prazo de Vigência)</t>
  </si>
  <si>
    <t>1° Aditivo (Prazo - Vigência e Execução)</t>
  </si>
  <si>
    <t>3 meses</t>
  </si>
  <si>
    <t>Valor Contr. Final:</t>
  </si>
  <si>
    <t xml:space="preserve">Saldo Contratual </t>
  </si>
  <si>
    <t>ALTURA
(m)</t>
  </si>
  <si>
    <t>30 dias</t>
  </si>
  <si>
    <t>273</t>
  </si>
  <si>
    <t>(9 meses)</t>
  </si>
  <si>
    <t xml:space="preserve">Execução </t>
  </si>
  <si>
    <t>Vigência</t>
  </si>
  <si>
    <t>270</t>
  </si>
  <si>
    <t>395</t>
  </si>
  <si>
    <t>(13 meses)</t>
  </si>
  <si>
    <t>Execução do Contrato:</t>
  </si>
  <si>
    <t>1.1.6 - Placa de obra nas dimensões de 2.0 x 4.0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</si>
</sst>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7" formatCode="&quot;R$&quot;\ #,##0.00;\-&quot;R$&quot;\ #,##0.00"/>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00"/>
    <numFmt numFmtId="166" formatCode="_(* #,##0.00_);_(* \(#,##0.00\);_(* \-??_);_(@_)"/>
    <numFmt numFmtId="167" formatCode="_-&quot;€ &quot;* #,##0.00_-;&quot;-€ &quot;* #,##0.00_-;_-&quot;€ &quot;* \-??_-;_-@_-"/>
    <numFmt numFmtId="168" formatCode="_(&quot;R$ &quot;* #,##0.00_);_(&quot;R$ &quot;* \(#,##0.00\);_(&quot;R$ &quot;* &quot;-&quot;??_);_(@_)"/>
    <numFmt numFmtId="169" formatCode="#,##0.000"/>
    <numFmt numFmtId="170" formatCode="#,##0.0000"/>
    <numFmt numFmtId="171" formatCode="0.000"/>
    <numFmt numFmtId="172" formatCode="_(&quot;R$ &quot;* #,##0.00_);_(&quot;R$ &quot;* \(#,##0.00\);_(&quot;R$ &quot;* \-??_);_(@_)"/>
    <numFmt numFmtId="173" formatCode="#,##0.0000000"/>
    <numFmt numFmtId="174" formatCode="_-* #,##0.000_-;\-* #,##0.000_-;_-* &quot;-&quot;??_-;_-@_-"/>
    <numFmt numFmtId="175" formatCode="_([$€-2]* #,##0.00_);_([$€-2]* \(#,##0.00\);_([$€-2]* \-??_)"/>
    <numFmt numFmtId="176" formatCode="&quot;R$ &quot;#,##0.00_);\(&quot;R$ &quot;#,##0.00\)"/>
    <numFmt numFmtId="177" formatCode="&quot;R$ &quot;#,##0_);[Red]\(&quot;R$ &quot;#,##0\)"/>
    <numFmt numFmtId="178" formatCode="#."/>
    <numFmt numFmtId="179" formatCode="[$€]#,##0.00_);[Red]\([$€]#,##0.00\)"/>
    <numFmt numFmtId="180" formatCode="\$#,##0\ ;\(\$#,##0\)"/>
    <numFmt numFmtId="181" formatCode="_(&quot;Cr$&quot;* #,##0.00_);_(&quot;Cr$&quot;* \(#,##0.00\);_(&quot;Cr$&quot;* &quot;-&quot;??_);_(@_)"/>
    <numFmt numFmtId="182" formatCode="_(&quot;$&quot;* #,##0.00_);_(&quot;$&quot;* \(#,##0.00\);_(&quot;$&quot;* &quot;-&quot;??_);_(@_)"/>
    <numFmt numFmtId="183" formatCode="&quot;R$ &quot;#,##0.00_);[Red]\(&quot;R$ &quot;#,##0.00\)"/>
    <numFmt numFmtId="184" formatCode="_(* #,##0.000_);_(* \(#,##0.000\);_(* \-??_);_(@_)"/>
    <numFmt numFmtId="185" formatCode="_-* #,##0.00\ _€_-;\-* #,##0.00\ _€_-;_-* &quot;-&quot;??\ _€_-;_-@_-"/>
    <numFmt numFmtId="186" formatCode="General&quot;ª Medição Provisória&quot;"/>
    <numFmt numFmtId="187" formatCode="_-* #,##0.000_-;\-* #,##0.000_-;_-* &quot;-&quot;???_-;_-@_-"/>
    <numFmt numFmtId="188" formatCode="&quot;Relatório da &quot;00&quot;ª Medição Provisória&quot;"/>
    <numFmt numFmtId="189" formatCode="&quot;R$&quot;\ #,##0.00"/>
    <numFmt numFmtId="190" formatCode="00\ &quot;Dias&quot;"/>
    <numFmt numFmtId="191" formatCode="_(* #,##0.00_);_(* \(#,##0.00\);_(* &quot;-&quot;??_);_(@_)"/>
    <numFmt numFmtId="192" formatCode="@&quot;ª MP&quot;"/>
    <numFmt numFmtId="193" formatCode="0.00000%"/>
    <numFmt numFmtId="194" formatCode="_(&quot;R$ &quot;* #,##0.00000_);_(&quot;R$ &quot;* \(#,##0.00000\);_(&quot;R$ &quot;* &quot;-&quot;?????_);_(@_)"/>
    <numFmt numFmtId="195" formatCode="00&quot;ª Medição Provisória&quot;"/>
    <numFmt numFmtId="196" formatCode="[$-416]mmm\-yy;@"/>
    <numFmt numFmtId="197" formatCode="#,##0.00;[Red]#,##0.00"/>
    <numFmt numFmtId="198" formatCode="&quot;Valor Faturado até a &quot;@&quot;ª Medição:&quot;"/>
    <numFmt numFmtId="199" formatCode="&quot;Saldo contratual na &quot;@&quot;ª Medição:&quot;"/>
    <numFmt numFmtId="200" formatCode="&quot;Dias Corridos até a &quot;@&quot;ª Medição:&quot;"/>
    <numFmt numFmtId="201" formatCode="&quot;Saldo de Prazo na &quot;@&quot;ª Medição:&quot;"/>
    <numFmt numFmtId="202" formatCode="@&quot; Dias Corridos&quot;"/>
    <numFmt numFmtId="203" formatCode="@&quot; MP&quot;"/>
    <numFmt numFmtId="204" formatCode="#,##0.00\ ;#,##0.00\ ;\-#\ ;@\ "/>
    <numFmt numFmtId="205" formatCode="#,##0.00\ ;&quot; (&quot;#,##0.00\);\-#\ ;@\ "/>
    <numFmt numFmtId="206" formatCode="#,##0.00\ ;\(#,##0.00\);\-#\ ;@\ "/>
    <numFmt numFmtId="207" formatCode="_-* #,##0.00_-;\-* #,##0.00_-;_-* \-??_-;_-@_-"/>
    <numFmt numFmtId="208" formatCode="00&quot;ª MEDIÇÃO&quot;"/>
    <numFmt numFmtId="209" formatCode="_(* #,##0.000_);_(* \(#,##0.000\);_(* &quot;-&quot;??_);_(@_)"/>
    <numFmt numFmtId="210" formatCode="_-* #,##0.000000000000000000000000_-;\-* #,##0.000000000000000000000000_-;_-* &quot;-&quot;???_-;_-@_-"/>
    <numFmt numFmtId="211" formatCode="_-&quot;R$ &quot;* #,##0.00_-;&quot;-R$ &quot;* #,##0.00_-;_-&quot;R$ &quot;* \-??_-;_-@_-"/>
    <numFmt numFmtId="212" formatCode="_-* #,##0.000_-;\-* #,##0.000_-;_-* \-??_-;_-@_-"/>
    <numFmt numFmtId="213" formatCode="_-* #,##0.000_-;\-* #,##0.000_-;_-* \-???_-;_-@_-"/>
    <numFmt numFmtId="214" formatCode="0&quot;ª MP&quot;"/>
    <numFmt numFmtId="215" formatCode="_-* #,##0_-;\-* #,##0_-;_-* &quot;-&quot;??_-;_-@_-"/>
  </numFmts>
  <fonts count="168">
    <font>
      <sz val="11"/>
      <color theme="1"/>
      <name val="Calibri"/>
      <family val="2"/>
      <scheme val="minor"/>
    </font>
    <font>
      <sz val="11"/>
      <color theme="1"/>
      <name val="Calibri"/>
      <family val="2"/>
      <scheme val="minor"/>
    </font>
    <font>
      <b/>
      <sz val="11"/>
      <color theme="1"/>
      <name val="Calibri"/>
      <family val="2"/>
      <scheme val="minor"/>
    </font>
    <font>
      <sz val="12"/>
      <name val="Arial"/>
      <family val="2"/>
    </font>
    <font>
      <sz val="10"/>
      <name val="Arial"/>
      <family val="2"/>
    </font>
    <font>
      <b/>
      <sz val="10"/>
      <name val="Arial"/>
      <family val="2"/>
    </font>
    <font>
      <sz val="10"/>
      <name val="Times New Roman"/>
      <family val="1"/>
    </font>
    <font>
      <sz val="11"/>
      <color indexed="8"/>
      <name val="Calibri"/>
      <family val="2"/>
    </font>
    <font>
      <sz val="11"/>
      <color indexed="9"/>
      <name val="Calibri"/>
      <family val="2"/>
    </font>
    <font>
      <sz val="8"/>
      <color indexed="8"/>
      <name val="Arial Narrow"/>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indexed="8"/>
      <name val="Arial"/>
      <family val="2"/>
    </font>
    <font>
      <b/>
      <i/>
      <sz val="10"/>
      <name val="Arial"/>
      <family val="2"/>
    </font>
    <font>
      <b/>
      <sz val="11"/>
      <name val="Arial"/>
      <family val="2"/>
    </font>
    <font>
      <sz val="11"/>
      <name val="Arial"/>
      <family val="2"/>
    </font>
    <font>
      <b/>
      <sz val="12"/>
      <name val="Arial"/>
      <family val="2"/>
    </font>
    <font>
      <b/>
      <sz val="14"/>
      <name val="Arial"/>
      <family val="2"/>
    </font>
    <font>
      <b/>
      <sz val="8"/>
      <name val="Arial"/>
      <family val="2"/>
    </font>
    <font>
      <b/>
      <sz val="7"/>
      <color indexed="10"/>
      <name val="Arial"/>
      <family val="2"/>
    </font>
    <font>
      <b/>
      <sz val="16"/>
      <color indexed="24"/>
      <name val="Arial"/>
      <family val="2"/>
    </font>
    <font>
      <b/>
      <sz val="12"/>
      <color indexed="24"/>
      <name val="Arial"/>
      <family val="2"/>
    </font>
    <font>
      <sz val="10"/>
      <color indexed="24"/>
      <name val="Arial"/>
      <family val="2"/>
    </font>
    <font>
      <sz val="1"/>
      <color indexed="16"/>
      <name val="Courier"/>
      <family val="3"/>
    </font>
    <font>
      <sz val="10"/>
      <name val="Courier"/>
      <family val="3"/>
    </font>
    <font>
      <sz val="1"/>
      <color indexed="8"/>
      <name val="Courier"/>
      <family val="3"/>
    </font>
    <font>
      <b/>
      <sz val="1"/>
      <color indexed="8"/>
      <name val="Courier"/>
      <family val="3"/>
    </font>
    <font>
      <i/>
      <sz val="1"/>
      <color indexed="8"/>
      <name val="Courier"/>
      <family val="3"/>
    </font>
    <font>
      <u/>
      <sz val="6"/>
      <color indexed="12"/>
      <name val="Arial"/>
      <family val="2"/>
    </font>
    <font>
      <sz val="12"/>
      <color indexed="24"/>
      <name val="Arial"/>
      <family val="2"/>
    </font>
    <font>
      <sz val="11"/>
      <name val="CG Omega"/>
      <family val="2"/>
    </font>
    <font>
      <sz val="1"/>
      <color indexed="18"/>
      <name val="Courier"/>
      <family val="3"/>
    </font>
    <font>
      <b/>
      <sz val="1"/>
      <color indexed="16"/>
      <name val="Courier"/>
      <family val="3"/>
    </font>
    <font>
      <b/>
      <sz val="11"/>
      <color indexed="8"/>
      <name val="Calibri"/>
      <family val="2"/>
    </font>
    <font>
      <sz val="10"/>
      <color rgb="FF0000FF"/>
      <name val="Arial"/>
      <family val="2"/>
    </font>
    <font>
      <sz val="9"/>
      <name val="Arial"/>
      <family val="2"/>
    </font>
    <font>
      <b/>
      <sz val="9"/>
      <name val="Arial"/>
      <family val="2"/>
    </font>
    <font>
      <sz val="9"/>
      <color rgb="FFFF0000"/>
      <name val="Arial"/>
      <family val="2"/>
    </font>
    <font>
      <sz val="9"/>
      <color rgb="FF0000FF"/>
      <name val="Arial"/>
      <family val="2"/>
    </font>
    <font>
      <sz val="11"/>
      <color rgb="FFFF0000"/>
      <name val="Arial"/>
      <family val="2"/>
    </font>
    <font>
      <sz val="9"/>
      <color theme="1"/>
      <name val="Arial"/>
      <family val="2"/>
    </font>
    <font>
      <b/>
      <sz val="12"/>
      <color theme="1"/>
      <name val="Arial"/>
      <family val="2"/>
    </font>
    <font>
      <b/>
      <sz val="10"/>
      <color theme="1"/>
      <name val="Arial"/>
      <family val="2"/>
    </font>
    <font>
      <b/>
      <sz val="9"/>
      <color theme="1"/>
      <name val="Arial"/>
      <family val="2"/>
    </font>
    <font>
      <b/>
      <sz val="9"/>
      <color rgb="FFFF0000"/>
      <name val="Arial"/>
      <family val="2"/>
    </font>
    <font>
      <sz val="8"/>
      <name val="Arial"/>
      <family val="2"/>
    </font>
    <font>
      <i/>
      <sz val="9"/>
      <color theme="1"/>
      <name val="Arial"/>
      <family val="2"/>
    </font>
    <font>
      <b/>
      <sz val="10"/>
      <color rgb="FFFF0000"/>
      <name val="Arial"/>
      <family val="2"/>
    </font>
    <font>
      <b/>
      <sz val="10"/>
      <color indexed="8"/>
      <name val="Arial"/>
      <family val="2"/>
    </font>
    <font>
      <sz val="10"/>
      <color theme="1"/>
      <name val="Arial"/>
      <family val="2"/>
    </font>
    <font>
      <b/>
      <sz val="12"/>
      <color rgb="FF0000FF"/>
      <name val="Arial"/>
      <family val="2"/>
    </font>
    <font>
      <sz val="11"/>
      <name val="Calibri"/>
      <family val="2"/>
      <scheme val="minor"/>
    </font>
    <font>
      <sz val="10"/>
      <color rgb="FFFF0000"/>
      <name val="Arial"/>
      <family val="2"/>
    </font>
    <font>
      <sz val="10"/>
      <name val="Calibri"/>
      <family val="2"/>
      <scheme val="minor"/>
    </font>
    <font>
      <b/>
      <sz val="12"/>
      <name val="Calibri"/>
      <family val="2"/>
      <scheme val="minor"/>
    </font>
    <font>
      <sz val="12"/>
      <name val="Calibri"/>
      <family val="2"/>
      <scheme val="minor"/>
    </font>
    <font>
      <b/>
      <sz val="10"/>
      <name val="Calibri"/>
      <family val="2"/>
      <scheme val="minor"/>
    </font>
    <font>
      <sz val="11"/>
      <color rgb="FF0000FF"/>
      <name val="Arial"/>
      <family val="2"/>
    </font>
    <font>
      <sz val="10"/>
      <color indexed="22"/>
      <name val="Arial"/>
      <family val="2"/>
    </font>
    <font>
      <sz val="12"/>
      <name val="Times New Roman"/>
      <family val="1"/>
    </font>
    <font>
      <b/>
      <sz val="12"/>
      <name val="Times New Roman"/>
      <family val="1"/>
    </font>
    <font>
      <b/>
      <sz val="12"/>
      <color rgb="FF0000FF"/>
      <name val="Calibri"/>
      <family val="2"/>
      <scheme val="minor"/>
    </font>
    <font>
      <sz val="12"/>
      <color rgb="FFFF0000"/>
      <name val="Arial"/>
      <family val="2"/>
    </font>
    <font>
      <sz val="12"/>
      <color rgb="FF0000FF"/>
      <name val="Arial"/>
      <family val="2"/>
    </font>
    <font>
      <b/>
      <sz val="12"/>
      <color indexed="12"/>
      <name val="Arial"/>
      <family val="2"/>
    </font>
    <font>
      <sz val="10"/>
      <color rgb="FF339933"/>
      <name val="Arial"/>
      <family val="2"/>
    </font>
    <font>
      <sz val="12"/>
      <color rgb="FF339933"/>
      <name val="Arial"/>
      <family val="2"/>
    </font>
    <font>
      <sz val="11"/>
      <color rgb="FF000000"/>
      <name val="Times New Roman"/>
      <family val="1"/>
    </font>
    <font>
      <b/>
      <sz val="10"/>
      <name val="Times New Roman"/>
      <family val="1"/>
    </font>
    <font>
      <sz val="10"/>
      <color rgb="FF0000FF"/>
      <name val="Times New Roman"/>
      <family val="1"/>
    </font>
    <font>
      <b/>
      <sz val="10"/>
      <color rgb="FF0000FF"/>
      <name val="Times New Roman"/>
      <family val="1"/>
    </font>
    <font>
      <b/>
      <sz val="12"/>
      <color rgb="FF0000FF"/>
      <name val="Times New Roman"/>
      <family val="1"/>
    </font>
    <font>
      <b/>
      <sz val="11"/>
      <name val="Calibri"/>
      <family val="2"/>
      <scheme val="minor"/>
    </font>
    <font>
      <b/>
      <sz val="10"/>
      <color rgb="FF0000FF"/>
      <name val="Arial"/>
      <family val="2"/>
    </font>
    <font>
      <b/>
      <sz val="10"/>
      <color rgb="FF0070C0"/>
      <name val="Arial"/>
      <family val="2"/>
    </font>
    <font>
      <b/>
      <i/>
      <sz val="10"/>
      <color rgb="FFFF0000"/>
      <name val="Arial"/>
      <family val="2"/>
    </font>
    <font>
      <sz val="11"/>
      <name val="Arial Narrow"/>
      <family val="2"/>
    </font>
    <font>
      <b/>
      <sz val="18"/>
      <color theme="1"/>
      <name val="Arial"/>
      <family val="2"/>
    </font>
    <font>
      <sz val="12"/>
      <color theme="1"/>
      <name val="Arial"/>
      <family val="2"/>
    </font>
    <font>
      <u/>
      <sz val="9"/>
      <color theme="1"/>
      <name val="Arial"/>
      <family val="2"/>
    </font>
    <font>
      <b/>
      <sz val="16"/>
      <color theme="1"/>
      <name val="Arial"/>
      <family val="2"/>
    </font>
    <font>
      <sz val="12"/>
      <color indexed="10"/>
      <name val="Calibri"/>
      <family val="2"/>
      <scheme val="minor"/>
    </font>
    <font>
      <sz val="12"/>
      <color indexed="48"/>
      <name val="Calibri"/>
      <family val="2"/>
      <scheme val="minor"/>
    </font>
    <font>
      <i/>
      <sz val="12"/>
      <name val="Calibri"/>
      <family val="2"/>
      <scheme val="minor"/>
    </font>
    <font>
      <i/>
      <sz val="11"/>
      <name val="Calibri"/>
      <family val="2"/>
      <scheme val="minor"/>
    </font>
    <font>
      <sz val="9"/>
      <color theme="1"/>
      <name val="Calibri"/>
      <family val="2"/>
      <scheme val="minor"/>
    </font>
    <font>
      <b/>
      <sz val="20"/>
      <color theme="1"/>
      <name val="Arial"/>
      <family val="2"/>
    </font>
    <font>
      <sz val="14"/>
      <name val="Arial"/>
      <family val="2"/>
    </font>
    <font>
      <i/>
      <sz val="11"/>
      <name val="Calibri"/>
      <family val="2"/>
    </font>
    <font>
      <sz val="9"/>
      <color indexed="10"/>
      <name val="Arial"/>
      <family val="2"/>
    </font>
    <font>
      <sz val="9"/>
      <color indexed="48"/>
      <name val="Arial"/>
      <family val="2"/>
    </font>
    <font>
      <sz val="8"/>
      <name val="Calibri"/>
      <family val="2"/>
      <scheme val="minor"/>
    </font>
    <font>
      <sz val="11"/>
      <color theme="1"/>
      <name val="Arial"/>
      <family val="2"/>
    </font>
    <font>
      <b/>
      <sz val="11"/>
      <color theme="1"/>
      <name val="Arial"/>
      <family val="2"/>
    </font>
    <font>
      <b/>
      <sz val="11"/>
      <color rgb="FFFFFF00"/>
      <name val="Calibri"/>
      <family val="2"/>
      <scheme val="minor"/>
    </font>
    <font>
      <b/>
      <sz val="10"/>
      <color rgb="FFFFFF00"/>
      <name val="Arial"/>
      <family val="2"/>
    </font>
    <font>
      <sz val="10"/>
      <color rgb="FF000000"/>
      <name val="Arial"/>
      <family val="2"/>
    </font>
    <font>
      <b/>
      <sz val="10"/>
      <color rgb="FF000000"/>
      <name val="Arial"/>
      <family val="2"/>
    </font>
    <font>
      <b/>
      <sz val="15"/>
      <color theme="1"/>
      <name val="Arial"/>
      <family val="2"/>
    </font>
    <font>
      <sz val="12"/>
      <color theme="1"/>
      <name val="Calibri"/>
      <family val="2"/>
      <scheme val="minor"/>
    </font>
    <font>
      <b/>
      <sz val="12"/>
      <color rgb="FFFFFF00"/>
      <name val="Calibri"/>
      <family val="2"/>
      <scheme val="minor"/>
    </font>
    <font>
      <i/>
      <sz val="11"/>
      <color theme="1"/>
      <name val="Calibri"/>
      <family val="2"/>
      <scheme val="minor"/>
    </font>
    <font>
      <i/>
      <sz val="12"/>
      <color theme="1"/>
      <name val="Arial"/>
      <family val="2"/>
    </font>
    <font>
      <sz val="14"/>
      <color theme="1"/>
      <name val="Arial"/>
      <family val="2"/>
    </font>
    <font>
      <i/>
      <sz val="12.5"/>
      <name val="Arial"/>
      <family val="2"/>
    </font>
    <font>
      <sz val="12.5"/>
      <color theme="1"/>
      <name val="Arial"/>
      <family val="2"/>
    </font>
    <font>
      <i/>
      <sz val="12.5"/>
      <color theme="1"/>
      <name val="Arial"/>
      <family val="2"/>
    </font>
    <font>
      <sz val="12.5"/>
      <name val="Arial"/>
      <family val="2"/>
    </font>
    <font>
      <b/>
      <sz val="14"/>
      <color theme="1"/>
      <name val="Arial"/>
      <family val="2"/>
    </font>
    <font>
      <b/>
      <sz val="12"/>
      <color rgb="FFFF0000"/>
      <name val="Arial"/>
      <family val="2"/>
    </font>
    <font>
      <sz val="11"/>
      <color theme="1"/>
      <name val="Arial Narrow"/>
      <family val="2"/>
    </font>
    <font>
      <sz val="12"/>
      <color theme="1"/>
      <name val="Times New Roman"/>
      <family val="1"/>
    </font>
    <font>
      <sz val="10"/>
      <name val="Arial"/>
      <family val="2"/>
    </font>
    <font>
      <sz val="10"/>
      <color rgb="FFFFFFFF"/>
      <name val="Calibri"/>
      <family val="2"/>
      <charset val="1"/>
    </font>
    <font>
      <b/>
      <sz val="10"/>
      <color rgb="FF000000"/>
      <name val="Calibri"/>
      <family val="2"/>
      <charset val="1"/>
    </font>
    <font>
      <sz val="10"/>
      <color rgb="FFCC0000"/>
      <name val="Calibri"/>
      <family val="2"/>
      <charset val="1"/>
    </font>
    <font>
      <sz val="11"/>
      <color rgb="FF000000"/>
      <name val="Calibri"/>
      <family val="2"/>
      <charset val="1"/>
    </font>
    <font>
      <b/>
      <sz val="10"/>
      <color rgb="FFFFFFFF"/>
      <name val="Calibri"/>
      <family val="2"/>
      <charset val="1"/>
    </font>
    <font>
      <i/>
      <sz val="10"/>
      <color rgb="FF808080"/>
      <name val="Calibri"/>
      <family val="2"/>
      <charset val="1"/>
    </font>
    <font>
      <sz val="10"/>
      <color rgb="FF006600"/>
      <name val="Calibri"/>
      <family val="2"/>
      <charset val="1"/>
    </font>
    <font>
      <sz val="18"/>
      <color rgb="FF000000"/>
      <name val="Calibri"/>
      <family val="2"/>
      <charset val="1"/>
    </font>
    <font>
      <b/>
      <sz val="24"/>
      <color rgb="FF000000"/>
      <name val="Calibri"/>
      <family val="2"/>
      <charset val="1"/>
    </font>
    <font>
      <sz val="12"/>
      <color rgb="FF000000"/>
      <name val="Calibri"/>
      <family val="2"/>
      <charset val="1"/>
    </font>
    <font>
      <u/>
      <sz val="10"/>
      <color theme="10"/>
      <name val="Arial"/>
      <family val="2"/>
    </font>
    <font>
      <u/>
      <sz val="11"/>
      <color theme="10"/>
      <name val="Calibri"/>
      <family val="2"/>
      <scheme val="minor"/>
    </font>
    <font>
      <u/>
      <sz val="10"/>
      <color rgb="FF0000EE"/>
      <name val="Calibri"/>
      <family val="2"/>
      <charset val="1"/>
    </font>
    <font>
      <u/>
      <sz val="11"/>
      <color rgb="FF0066CC"/>
      <name val="Calibri"/>
      <family val="2"/>
      <charset val="1"/>
    </font>
    <font>
      <u/>
      <sz val="12"/>
      <color rgb="FF0066CC"/>
      <name val="Arial"/>
      <family val="2"/>
      <charset val="1"/>
    </font>
    <font>
      <sz val="10"/>
      <color rgb="FF996600"/>
      <name val="Calibri"/>
      <family val="2"/>
      <charset val="1"/>
    </font>
    <font>
      <sz val="10"/>
      <name val="Arial"/>
      <family val="2"/>
      <charset val="1"/>
    </font>
    <font>
      <sz val="10"/>
      <color rgb="FF000000"/>
      <name val="Times New Roman"/>
      <family val="1"/>
    </font>
    <font>
      <sz val="10"/>
      <color rgb="FF000000"/>
      <name val="Arial"/>
      <family val="2"/>
      <charset val="1"/>
    </font>
    <font>
      <sz val="11"/>
      <name val="Arial"/>
      <family val="1"/>
    </font>
    <font>
      <sz val="12"/>
      <color rgb="FF000000"/>
      <name val="Arial"/>
      <family val="2"/>
      <charset val="1"/>
    </font>
    <font>
      <sz val="10"/>
      <color rgb="FF333333"/>
      <name val="Calibri"/>
      <family val="2"/>
      <charset val="1"/>
    </font>
    <font>
      <sz val="10"/>
      <color rgb="FF000000"/>
      <name val="Arial2"/>
      <charset val="1"/>
    </font>
    <font>
      <sz val="9"/>
      <color indexed="8"/>
      <name val="Arial"/>
      <family val="2"/>
    </font>
    <font>
      <sz val="11"/>
      <color indexed="12"/>
      <name val="Arial"/>
      <family val="2"/>
    </font>
    <font>
      <i/>
      <sz val="12"/>
      <name val="Arial"/>
      <family val="2"/>
    </font>
    <font>
      <b/>
      <sz val="11.5"/>
      <name val="Arial"/>
      <family val="2"/>
    </font>
    <font>
      <b/>
      <sz val="11.5"/>
      <color theme="1"/>
      <name val="Arial"/>
      <family val="2"/>
    </font>
    <font>
      <i/>
      <sz val="13"/>
      <color theme="1"/>
      <name val="Arial"/>
      <family val="2"/>
    </font>
    <font>
      <sz val="12"/>
      <color rgb="FF0000FF"/>
      <name val="Times New Roman"/>
      <family val="1"/>
    </font>
    <font>
      <sz val="9"/>
      <color rgb="FF446A2C"/>
      <name val="Arial"/>
      <family val="2"/>
    </font>
    <font>
      <sz val="11"/>
      <color rgb="FF0000FF"/>
      <name val="Calibri"/>
      <family val="2"/>
      <scheme val="minor"/>
    </font>
    <font>
      <b/>
      <sz val="11"/>
      <color rgb="FFFF0000"/>
      <name val="Calibri"/>
      <family val="2"/>
      <scheme val="minor"/>
    </font>
    <font>
      <b/>
      <sz val="11"/>
      <color indexed="8"/>
      <name val="Arial"/>
      <family val="2"/>
    </font>
    <font>
      <b/>
      <sz val="11"/>
      <color rgb="FFFF0000"/>
      <name val="Arial"/>
      <family val="2"/>
    </font>
    <font>
      <b/>
      <sz val="12"/>
      <name val="Arial"/>
      <family val="2"/>
      <charset val="1"/>
    </font>
    <font>
      <sz val="12"/>
      <color rgb="FF0000FF"/>
      <name val="Arial"/>
      <family val="2"/>
      <charset val="1"/>
    </font>
    <font>
      <sz val="12"/>
      <color theme="0"/>
      <name val="Arial"/>
      <family val="2"/>
    </font>
    <font>
      <b/>
      <sz val="12"/>
      <color theme="0" tint="-4.9989318521683403E-2"/>
      <name val="Arial"/>
      <family val="2"/>
    </font>
    <font>
      <sz val="11"/>
      <color rgb="FF000000"/>
      <name val="Arial"/>
      <family val="2"/>
    </font>
    <font>
      <sz val="11"/>
      <color rgb="FFFF0000"/>
      <name val="Calibri"/>
      <family val="2"/>
      <scheme val="minor"/>
    </font>
    <font>
      <sz val="18"/>
      <color rgb="FF202124"/>
      <name val="Arial"/>
      <family val="2"/>
    </font>
    <font>
      <sz val="10"/>
      <color rgb="FFFF0000"/>
      <name val="Calibri"/>
      <family val="2"/>
      <scheme val="minor"/>
    </font>
  </fonts>
  <fills count="49">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tint="-0.249977111117893"/>
        <bgColor indexed="64"/>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indexed="9"/>
        <bgColor indexed="64"/>
      </patternFill>
    </fill>
    <fill>
      <patternFill patternType="solid">
        <fgColor rgb="FFFFFF00"/>
        <bgColor indexed="64"/>
      </patternFill>
    </fill>
    <fill>
      <patternFill patternType="solid">
        <fgColor theme="0" tint="-0.34998626667073579"/>
        <bgColor indexed="64"/>
      </patternFill>
    </fill>
    <fill>
      <patternFill patternType="solid">
        <fgColor rgb="FF92D050"/>
        <bgColor indexed="64"/>
      </patternFill>
    </fill>
    <fill>
      <patternFill patternType="solid">
        <fgColor theme="3" tint="0.79998168889431442"/>
        <bgColor indexed="64"/>
      </patternFill>
    </fill>
    <fill>
      <patternFill patternType="solid">
        <fgColor indexed="22"/>
        <bgColor indexed="64"/>
      </patternFill>
    </fill>
    <fill>
      <patternFill patternType="solid">
        <fgColor theme="4" tint="0.79998168889431442"/>
        <bgColor indexed="64"/>
      </patternFill>
    </fill>
    <fill>
      <patternFill patternType="solid">
        <fgColor rgb="FF000000"/>
        <bgColor rgb="FF222222"/>
      </patternFill>
    </fill>
    <fill>
      <patternFill patternType="solid">
        <fgColor rgb="FF808080"/>
        <bgColor rgb="FF767171"/>
      </patternFill>
    </fill>
    <fill>
      <patternFill patternType="solid">
        <fgColor rgb="FFDDDDDD"/>
        <bgColor rgb="FFD9D9D9"/>
      </patternFill>
    </fill>
    <fill>
      <patternFill patternType="solid">
        <fgColor rgb="FFFFCCCC"/>
        <bgColor rgb="FFFFC7CE"/>
      </patternFill>
    </fill>
    <fill>
      <patternFill patternType="solid">
        <fgColor rgb="FFCC0000"/>
        <bgColor rgb="FF9C0006"/>
      </patternFill>
    </fill>
    <fill>
      <patternFill patternType="solid">
        <fgColor rgb="FFCCFFCC"/>
        <bgColor rgb="FFDEE6EF"/>
      </patternFill>
    </fill>
    <fill>
      <patternFill patternType="solid">
        <fgColor rgb="FFFFFFCC"/>
        <bgColor rgb="FFFFFFD7"/>
      </patternFill>
    </fill>
    <fill>
      <patternFill patternType="solid">
        <fgColor indexed="43"/>
        <bgColor indexed="64"/>
      </patternFill>
    </fill>
    <fill>
      <patternFill patternType="solid">
        <fgColor rgb="FFFF0000"/>
        <bgColor indexed="64"/>
      </patternFill>
    </fill>
    <fill>
      <patternFill patternType="solid">
        <fgColor rgb="FFFFFFFF"/>
        <bgColor rgb="FFF2F2F2"/>
      </patternFill>
    </fill>
    <fill>
      <patternFill patternType="solid">
        <fgColor theme="0"/>
        <bgColor rgb="FFF2F2F2"/>
      </patternFill>
    </fill>
  </fills>
  <borders count="136">
    <border>
      <left/>
      <right/>
      <top/>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style="thin">
        <color indexed="64"/>
      </bottom>
      <diagonal/>
    </border>
    <border>
      <left style="thin">
        <color indexed="8"/>
      </left>
      <right/>
      <top style="thin">
        <color indexed="8"/>
      </top>
      <bottom/>
      <diagonal/>
    </border>
    <border>
      <left/>
      <right/>
      <top/>
      <bottom style="thin">
        <color indexed="8"/>
      </bottom>
      <diagonal/>
    </border>
    <border>
      <left/>
      <right/>
      <top style="thin">
        <color indexed="62"/>
      </top>
      <bottom style="double">
        <color indexed="62"/>
      </bottom>
      <diagonal/>
    </border>
    <border>
      <left/>
      <right/>
      <top/>
      <bottom style="thin">
        <color auto="1"/>
      </bottom>
      <diagonal/>
    </border>
    <border>
      <left/>
      <right/>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style="thin">
        <color indexed="64"/>
      </left>
      <right style="thin">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thin">
        <color indexed="64"/>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hair">
        <color indexed="64"/>
      </top>
      <bottom/>
      <diagonal/>
    </border>
    <border>
      <left style="thin">
        <color auto="1"/>
      </left>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hair">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auto="1"/>
      </right>
      <top/>
      <bottom/>
      <diagonal/>
    </border>
    <border>
      <left/>
      <right/>
      <top style="thin">
        <color auto="1"/>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top style="thin">
        <color indexed="8"/>
      </top>
      <bottom/>
      <diagonal/>
    </border>
    <border>
      <left/>
      <right/>
      <top style="thin">
        <color indexed="62"/>
      </top>
      <bottom style="double">
        <color indexed="62"/>
      </bottom>
      <diagonal/>
    </border>
    <border>
      <left style="thin">
        <color auto="1"/>
      </left>
      <right/>
      <top/>
      <bottom style="thin">
        <color auto="1"/>
      </bottom>
      <diagonal/>
    </border>
    <border>
      <left style="thin">
        <color auto="1"/>
      </left>
      <right style="thin">
        <color auto="1"/>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bottom/>
      <diagonal/>
    </border>
    <border>
      <left/>
      <right/>
      <top/>
      <bottom style="thick">
        <color theme="1"/>
      </bottom>
      <diagonal/>
    </border>
    <border>
      <left/>
      <right/>
      <top style="thick">
        <color theme="1"/>
      </top>
      <bottom/>
      <diagonal/>
    </border>
    <border>
      <left/>
      <right/>
      <top/>
      <bottom style="thick">
        <color auto="1"/>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auto="1"/>
      </left>
      <right/>
      <top/>
      <bottom/>
      <diagonal/>
    </border>
    <border>
      <left/>
      <right/>
      <top/>
      <bottom/>
      <diagonal style="thin">
        <color indexed="0"/>
      </diagonal>
    </border>
    <border>
      <left style="medium">
        <color indexed="64"/>
      </left>
      <right style="thin">
        <color indexed="64"/>
      </right>
      <top style="hair">
        <color indexed="64"/>
      </top>
      <bottom style="hair">
        <color indexed="64"/>
      </bottom>
      <diagonal/>
    </border>
    <border>
      <left style="thin">
        <color rgb="FF808080"/>
      </left>
      <right style="thin">
        <color rgb="FF808080"/>
      </right>
      <top style="thin">
        <color rgb="FF808080"/>
      </top>
      <bottom style="thin">
        <color rgb="FF808080"/>
      </bottom>
      <diagonal/>
    </border>
    <border>
      <left style="hair">
        <color indexed="64"/>
      </left>
      <right/>
      <top style="thin">
        <color indexed="64"/>
      </top>
      <bottom style="thin">
        <color indexed="64"/>
      </bottom>
      <diagonal/>
    </border>
    <border>
      <left style="thin">
        <color indexed="55"/>
      </left>
      <right/>
      <top/>
      <bottom/>
      <diagonal/>
    </border>
    <border>
      <left style="thin">
        <color indexed="55"/>
      </left>
      <right style="thin">
        <color indexed="55"/>
      </right>
      <top/>
      <bottom/>
      <diagonal/>
    </border>
    <border>
      <left/>
      <right style="thin">
        <color indexed="55"/>
      </right>
      <top/>
      <bottom/>
      <diagonal/>
    </border>
    <border>
      <left/>
      <right/>
      <top style="thick">
        <color theme="1"/>
      </top>
      <bottom style="thin">
        <color indexed="64"/>
      </bottom>
      <diagonal/>
    </border>
    <border>
      <left style="thin">
        <color indexed="64"/>
      </left>
      <right/>
      <top/>
      <bottom/>
      <diagonal/>
    </border>
    <border>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bottom/>
      <diagonal/>
    </border>
    <border>
      <left/>
      <right/>
      <top style="thick">
        <color indexed="64"/>
      </top>
      <bottom style="thin">
        <color indexed="64"/>
      </bottom>
      <diagonal/>
    </border>
    <border>
      <left/>
      <right/>
      <top style="thick">
        <color auto="1"/>
      </top>
      <bottom/>
      <diagonal/>
    </border>
    <border>
      <left style="thin">
        <color indexed="64"/>
      </left>
      <right style="thin">
        <color indexed="64"/>
      </right>
      <top style="thin">
        <color auto="1"/>
      </top>
      <bottom style="thin">
        <color theme="0" tint="-0.34998626667073579"/>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s>
  <cellStyleXfs count="5887">
    <xf numFmtId="0" fontId="0" fillId="0" borderId="0"/>
    <xf numFmtId="43" fontId="1"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9" fillId="0" borderId="3" applyNumberFormat="0" applyFont="0" applyAlignment="0">
      <alignment horizontal="left" vertical="top" indent="1"/>
    </xf>
    <xf numFmtId="0" fontId="10" fillId="4" borderId="0" applyNumberFormat="0" applyBorder="0" applyAlignment="0" applyProtection="0"/>
    <xf numFmtId="0" fontId="11" fillId="21" borderId="15" applyNumberFormat="0" applyAlignment="0" applyProtection="0"/>
    <xf numFmtId="0" fontId="12" fillId="22" borderId="16" applyNumberFormat="0" applyAlignment="0" applyProtection="0"/>
    <xf numFmtId="166" fontId="4" fillId="0" borderId="0" applyFill="0" applyBorder="0" applyAlignment="0" applyProtection="0"/>
    <xf numFmtId="167" fontId="4" fillId="0" borderId="0" applyFill="0" applyBorder="0" applyAlignment="0" applyProtection="0"/>
    <xf numFmtId="0" fontId="13" fillId="0" borderId="0" applyNumberFormat="0" applyFill="0" applyBorder="0" applyAlignment="0" applyProtection="0"/>
    <xf numFmtId="0" fontId="14" fillId="5" borderId="0" applyNumberFormat="0" applyBorder="0" applyAlignment="0" applyProtection="0"/>
    <xf numFmtId="0" fontId="15" fillId="0" borderId="17" applyNumberFormat="0" applyFill="0" applyAlignment="0" applyProtection="0"/>
    <xf numFmtId="0" fontId="16" fillId="0" borderId="18" applyNumberFormat="0" applyFill="0" applyAlignment="0" applyProtection="0"/>
    <xf numFmtId="0" fontId="17" fillId="0" borderId="19" applyNumberFormat="0" applyFill="0" applyAlignment="0" applyProtection="0"/>
    <xf numFmtId="0" fontId="17" fillId="0" borderId="0" applyNumberFormat="0" applyFill="0" applyBorder="0" applyAlignment="0" applyProtection="0"/>
    <xf numFmtId="0" fontId="18" fillId="8" borderId="15" applyNumberFormat="0" applyAlignment="0" applyProtection="0"/>
    <xf numFmtId="0" fontId="19" fillId="0" borderId="20" applyNumberFormat="0" applyFill="0" applyAlignment="0" applyProtection="0"/>
    <xf numFmtId="168" fontId="7" fillId="0" borderId="0" applyFont="0" applyFill="0" applyBorder="0" applyAlignment="0" applyProtection="0"/>
    <xf numFmtId="0" fontId="20" fillId="23" borderId="0" applyNumberFormat="0" applyBorder="0" applyAlignment="0" applyProtection="0"/>
    <xf numFmtId="0" fontId="7" fillId="0" borderId="0"/>
    <xf numFmtId="0" fontId="4" fillId="24" borderId="21" applyNumberFormat="0" applyFont="0" applyAlignment="0" applyProtection="0"/>
    <xf numFmtId="0" fontId="21" fillId="21" borderId="22" applyNumberFormat="0" applyAlignment="0" applyProtection="0"/>
    <xf numFmtId="9" fontId="4"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7"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5" fillId="0" borderId="17" applyNumberFormat="0" applyFill="0" applyAlignment="0" applyProtection="0"/>
    <xf numFmtId="0" fontId="23" fillId="0" borderId="0" applyNumberFormat="0" applyFill="0" applyBorder="0" applyAlignment="0" applyProtection="0"/>
    <xf numFmtId="43" fontId="4"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166" fontId="4" fillId="0" borderId="0" applyFill="0" applyBorder="0" applyAlignment="0" applyProtection="0"/>
    <xf numFmtId="167" fontId="4" fillId="0" borderId="0" applyFill="0" applyBorder="0" applyAlignment="0" applyProtection="0"/>
    <xf numFmtId="0" fontId="4" fillId="24" borderId="21" applyNumberFormat="0" applyFont="0" applyAlignment="0" applyProtection="0"/>
    <xf numFmtId="9" fontId="4"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43" fontId="1" fillId="0" borderId="0" applyFont="0" applyFill="0" applyBorder="0" applyAlignment="0" applyProtection="0"/>
    <xf numFmtId="0" fontId="4"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4" fillId="0" borderId="0" applyFont="0" applyFill="0" applyBorder="0" applyAlignment="0" applyProtection="0"/>
    <xf numFmtId="0" fontId="1" fillId="0" borderId="0"/>
    <xf numFmtId="0" fontId="1" fillId="0" borderId="0"/>
    <xf numFmtId="9" fontId="4" fillId="0" borderId="0" applyFont="0" applyFill="0" applyBorder="0" applyAlignment="0" applyProtection="0"/>
    <xf numFmtId="0" fontId="1" fillId="0" borderId="0"/>
    <xf numFmtId="0" fontId="4" fillId="0" borderId="0"/>
    <xf numFmtId="43" fontId="4" fillId="0" borderId="0" applyFont="0" applyFill="0" applyBorder="0" applyAlignment="0" applyProtection="0"/>
    <xf numFmtId="9" fontId="4" fillId="0" borderId="0" applyFill="0" applyBorder="0" applyAlignment="0" applyProtection="0"/>
    <xf numFmtId="172" fontId="4" fillId="0" borderId="0" applyFill="0" applyBorder="0" applyAlignment="0" applyProtection="0"/>
    <xf numFmtId="170" fontId="1" fillId="0" borderId="0" applyFont="0" applyFill="0" applyBorder="0" applyAlignment="0" applyProtection="0"/>
    <xf numFmtId="170" fontId="4" fillId="0" borderId="0" applyFont="0" applyFill="0" applyBorder="0" applyAlignment="0" applyProtection="0"/>
    <xf numFmtId="0" fontId="1" fillId="0" borderId="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66" fontId="4" fillId="0" borderId="0" applyFill="0" applyBorder="0" applyAlignment="0" applyProtection="0"/>
    <xf numFmtId="43" fontId="4" fillId="0" borderId="0" applyFont="0" applyFill="0" applyBorder="0" applyAlignment="0" applyProtection="0"/>
    <xf numFmtId="0" fontId="4" fillId="0" borderId="0"/>
    <xf numFmtId="0" fontId="30" fillId="27" borderId="12" applyNumberFormat="0" applyFont="0" applyBorder="0" applyAlignment="0">
      <alignment horizontal="left" vertical="center"/>
    </xf>
    <xf numFmtId="175" fontId="4" fillId="0" borderId="0" applyFill="0" applyBorder="0" applyAlignment="0" applyProtection="0"/>
    <xf numFmtId="168" fontId="4"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4"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4" fillId="0" borderId="0" applyFill="0" applyBorder="0" applyAlignment="0" applyProtection="0"/>
    <xf numFmtId="168" fontId="7" fillId="0" borderId="0" applyFont="0" applyFill="0" applyBorder="0" applyAlignment="0" applyProtection="0"/>
    <xf numFmtId="175" fontId="4" fillId="0" borderId="0"/>
    <xf numFmtId="0" fontId="4" fillId="0" borderId="0"/>
    <xf numFmtId="0" fontId="1" fillId="0" borderId="0"/>
    <xf numFmtId="0" fontId="24" fillId="0" borderId="0"/>
    <xf numFmtId="0" fontId="7" fillId="0" borderId="0"/>
    <xf numFmtId="9" fontId="4" fillId="0" borderId="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166"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1" fillId="0" borderId="23" applyNumberFormat="0" applyBorder="0" applyAlignment="0">
      <alignment horizontal="center" vertical="center"/>
    </xf>
    <xf numFmtId="43" fontId="4" fillId="0" borderId="0" applyFont="0" applyFill="0" applyBorder="0" applyAlignment="0" applyProtection="0"/>
    <xf numFmtId="43" fontId="4" fillId="0" borderId="0" applyFont="0" applyFill="0" applyBorder="0" applyAlignment="0" applyProtection="0"/>
    <xf numFmtId="12" fontId="4" fillId="0" borderId="0" applyFont="0" applyFill="0" applyProtection="0"/>
    <xf numFmtId="0" fontId="4" fillId="0" borderId="0"/>
    <xf numFmtId="0" fontId="4" fillId="0" borderId="0"/>
    <xf numFmtId="175" fontId="4" fillId="0" borderId="0"/>
    <xf numFmtId="0" fontId="4" fillId="0" borderId="0"/>
    <xf numFmtId="0" fontId="1" fillId="0" borderId="0"/>
    <xf numFmtId="0" fontId="4" fillId="0" borderId="0"/>
    <xf numFmtId="0" fontId="4" fillId="0" borderId="0"/>
    <xf numFmtId="0" fontId="7" fillId="0" borderId="0"/>
    <xf numFmtId="0" fontId="1" fillId="0" borderId="0"/>
    <xf numFmtId="175"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177" fontId="4" fillId="0" borderId="0" applyFont="0" applyFill="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4" fillId="0" borderId="24" applyNumberFormat="0" applyAlignment="0"/>
    <xf numFmtId="0" fontId="14" fillId="5" borderId="0" applyNumberFormat="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11" fillId="21" borderId="15" applyNumberFormat="0" applyAlignment="0" applyProtection="0"/>
    <xf numFmtId="0" fontId="12" fillId="22" borderId="16" applyNumberFormat="0" applyAlignment="0" applyProtection="0"/>
    <xf numFmtId="0" fontId="19" fillId="0" borderId="20" applyNumberFormat="0" applyFill="0" applyAlignment="0" applyProtection="0"/>
    <xf numFmtId="3" fontId="34" fillId="0" borderId="0" applyFont="0" applyFill="0" applyBorder="0" applyAlignment="0" applyProtection="0"/>
    <xf numFmtId="178" fontId="35" fillId="0" borderId="0">
      <protection locked="0"/>
    </xf>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18" fillId="8" borderId="15" applyNumberFormat="0" applyAlignment="0" applyProtection="0"/>
    <xf numFmtId="179" fontId="36" fillId="0" borderId="0" applyFont="0" applyFill="0" applyBorder="0" applyAlignment="0" applyProtection="0"/>
    <xf numFmtId="0" fontId="37" fillId="0" borderId="0">
      <protection locked="0"/>
    </xf>
    <xf numFmtId="0" fontId="38" fillId="0" borderId="0">
      <protection locked="0"/>
    </xf>
    <xf numFmtId="0" fontId="39"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178" fontId="35" fillId="0" borderId="0">
      <protection locked="0"/>
    </xf>
    <xf numFmtId="0" fontId="40" fillId="0" borderId="0" applyNumberFormat="0" applyFill="0" applyBorder="0" applyAlignment="0" applyProtection="0">
      <alignment vertical="top"/>
      <protection locked="0"/>
    </xf>
    <xf numFmtId="0" fontId="10" fillId="4" borderId="0" applyNumberFormat="0" applyBorder="0" applyAlignment="0" applyProtection="0"/>
    <xf numFmtId="0" fontId="36" fillId="0" borderId="0"/>
    <xf numFmtId="180" fontId="41" fillId="0" borderId="0" applyFont="0" applyFill="0" applyBorder="0" applyAlignment="0" applyProtection="0"/>
    <xf numFmtId="181" fontId="4" fillId="0" borderId="0" applyFont="0" applyFill="0" applyBorder="0" applyAlignment="0" applyProtection="0"/>
    <xf numFmtId="0" fontId="20" fillId="23" borderId="0" applyNumberFormat="0" applyBorder="0" applyAlignment="0" applyProtection="0"/>
    <xf numFmtId="0" fontId="4" fillId="0" borderId="0"/>
    <xf numFmtId="0" fontId="27" fillId="0" borderId="0"/>
    <xf numFmtId="0" fontId="4" fillId="0" borderId="0"/>
    <xf numFmtId="0" fontId="4" fillId="0" borderId="0"/>
    <xf numFmtId="0" fontId="42" fillId="0" borderId="0"/>
    <xf numFmtId="0" fontId="1" fillId="0" borderId="0"/>
    <xf numFmtId="0" fontId="4" fillId="0" borderId="0"/>
    <xf numFmtId="0" fontId="4" fillId="24" borderId="21" applyNumberFormat="0" applyFont="0" applyAlignment="0" applyProtection="0"/>
    <xf numFmtId="0" fontId="7" fillId="2" borderId="1" applyNumberFormat="0" applyFont="0" applyAlignment="0" applyProtection="0"/>
    <xf numFmtId="178" fontId="35" fillId="0" borderId="0">
      <protection locked="0"/>
    </xf>
    <xf numFmtId="178" fontId="35" fillId="0" borderId="0">
      <protection locked="0"/>
    </xf>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9" fontId="25" fillId="0" borderId="25">
      <alignment horizontal="left" vertical="center" wrapText="1"/>
    </xf>
    <xf numFmtId="49" fontId="25" fillId="0" borderId="25">
      <alignment horizontal="left" vertical="center" wrapText="1"/>
      <protection locked="0"/>
    </xf>
    <xf numFmtId="0" fontId="21" fillId="21" borderId="22" applyNumberFormat="0" applyAlignment="0" applyProtection="0"/>
    <xf numFmtId="178" fontId="43" fillId="0" borderId="0">
      <protection locked="0"/>
    </xf>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0" fontId="23" fillId="0" borderId="0" applyNumberFormat="0" applyFill="0" applyBorder="0" applyAlignment="0" applyProtection="0"/>
    <xf numFmtId="0" fontId="13" fillId="0" borderId="0" applyNumberFormat="0" applyFill="0" applyBorder="0" applyAlignment="0" applyProtection="0"/>
    <xf numFmtId="0" fontId="15" fillId="0" borderId="17" applyNumberFormat="0" applyFill="0" applyAlignment="0" applyProtection="0"/>
    <xf numFmtId="0" fontId="16" fillId="0" borderId="18" applyNumberFormat="0" applyFill="0" applyAlignment="0" applyProtection="0"/>
    <xf numFmtId="0" fontId="17" fillId="0" borderId="19" applyNumberFormat="0" applyFill="0" applyAlignment="0" applyProtection="0"/>
    <xf numFmtId="0" fontId="17" fillId="0" borderId="0" applyNumberFormat="0" applyFill="0" applyBorder="0" applyAlignment="0" applyProtection="0"/>
    <xf numFmtId="0" fontId="22" fillId="0" borderId="0" applyNumberFormat="0" applyFill="0" applyBorder="0" applyAlignment="0" applyProtection="0"/>
    <xf numFmtId="178" fontId="44" fillId="0" borderId="0">
      <protection locked="0"/>
    </xf>
    <xf numFmtId="178" fontId="44" fillId="0" borderId="0">
      <protection locked="0"/>
    </xf>
    <xf numFmtId="0" fontId="45" fillId="0" borderId="26" applyNumberFormat="0" applyFill="0" applyAlignment="0" applyProtection="0"/>
    <xf numFmtId="0" fontId="2" fillId="0" borderId="2" applyNumberFormat="0" applyFill="0" applyAlignment="0" applyProtection="0"/>
    <xf numFmtId="43" fontId="4" fillId="0" borderId="0" applyFont="0" applyFill="0" applyBorder="0" applyAlignment="0" applyProtection="0"/>
    <xf numFmtId="3" fontId="41" fillId="0" borderId="0" applyFont="0" applyFill="0" applyBorder="0" applyAlignment="0" applyProtection="0"/>
    <xf numFmtId="182" fontId="4" fillId="0" borderId="0" applyFont="0" applyFill="0" applyBorder="0" applyAlignment="0" applyProtection="0"/>
    <xf numFmtId="0" fontId="4" fillId="0" borderId="0" applyNumberFormat="0" applyFont="0" applyFill="0" applyBorder="0" applyAlignment="0" applyProtection="0"/>
    <xf numFmtId="44" fontId="4" fillId="0" borderId="0" applyFont="0" applyFill="0" applyBorder="0" applyAlignment="0" applyProtection="0"/>
    <xf numFmtId="2" fontId="4" fillId="0" borderId="0">
      <alignment horizontal="left"/>
      <protection locked="0"/>
    </xf>
    <xf numFmtId="2" fontId="4" fillId="0" borderId="0" applyFill="0" applyBorder="0" applyAlignment="0" applyProtection="0"/>
    <xf numFmtId="2" fontId="4" fillId="0" borderId="0">
      <alignment horizontal="left"/>
      <protection locked="0"/>
    </xf>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1" fillId="0" borderId="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83" fontId="4" fillId="0" borderId="0" applyFill="0" applyBorder="0" applyAlignment="0" applyProtection="0"/>
    <xf numFmtId="176" fontId="4" fillId="0" borderId="0" applyFont="0" applyFill="0" applyBorder="0" applyAlignment="0" applyProtection="0"/>
    <xf numFmtId="166" fontId="4" fillId="0" borderId="0" applyFill="0" applyBorder="0" applyAlignment="0" applyProtection="0"/>
    <xf numFmtId="166" fontId="4" fillId="0" borderId="0" applyFill="0" applyBorder="0" applyAlignment="0" applyProtection="0"/>
    <xf numFmtId="166" fontId="4" fillId="0" borderId="0" applyFill="0" applyBorder="0" applyAlignment="0" applyProtection="0"/>
    <xf numFmtId="43" fontId="4" fillId="0" borderId="0" applyFont="0" applyFill="0" applyBorder="0" applyAlignment="0" applyProtection="0"/>
    <xf numFmtId="166" fontId="4" fillId="0" borderId="0" applyFill="0" applyBorder="0" applyAlignment="0" applyProtection="0"/>
    <xf numFmtId="166" fontId="4" fillId="0" borderId="0" applyFill="0" applyBorder="0" applyAlignment="0" applyProtection="0"/>
    <xf numFmtId="166" fontId="4" fillId="0" borderId="0" applyFill="0" applyBorder="0" applyAlignment="0" applyProtection="0"/>
    <xf numFmtId="43" fontId="4" fillId="0" borderId="0" applyFont="0" applyFill="0" applyBorder="0" applyAlignment="0" applyProtection="0"/>
    <xf numFmtId="166" fontId="4" fillId="0" borderId="0" applyFill="0" applyBorder="0" applyAlignment="0" applyProtection="0"/>
    <xf numFmtId="43" fontId="4" fillId="0" borderId="0" applyFont="0" applyFill="0" applyBorder="0" applyAlignment="0" applyProtection="0"/>
    <xf numFmtId="183" fontId="4" fillId="0" borderId="0" applyFill="0" applyBorder="0" applyAlignment="0" applyProtection="0"/>
    <xf numFmtId="183"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16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76" fontId="4" fillId="0" borderId="0" applyFill="0" applyBorder="0" applyAlignment="0" applyProtection="0"/>
    <xf numFmtId="183" fontId="4" fillId="0" borderId="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166"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183" fontId="4" fillId="0" borderId="0" applyFill="0" applyBorder="0" applyAlignment="0" applyProtection="0"/>
    <xf numFmtId="43" fontId="4" fillId="0" borderId="0" applyFont="0" applyFill="0" applyBorder="0" applyAlignment="0" applyProtection="0"/>
    <xf numFmtId="7"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4" fillId="0" borderId="0" applyFill="0" applyBorder="0" applyAlignment="0" applyProtection="0"/>
    <xf numFmtId="185"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6" fillId="0" borderId="0"/>
    <xf numFmtId="0" fontId="1" fillId="0" borderId="0"/>
    <xf numFmtId="44" fontId="1" fillId="0" borderId="0" applyFont="0" applyFill="0" applyBorder="0" applyAlignment="0" applyProtection="0"/>
    <xf numFmtId="0" fontId="4" fillId="0" borderId="0" applyNumberFormat="0" applyFont="0" applyFill="0" applyBorder="0" applyAlignment="0" applyProtection="0"/>
    <xf numFmtId="0" fontId="1" fillId="0" borderId="0"/>
    <xf numFmtId="0" fontId="4" fillId="0" borderId="0"/>
    <xf numFmtId="12" fontId="4" fillId="0" borderId="0" applyFont="0" applyFill="0" applyProtection="0"/>
    <xf numFmtId="177" fontId="4" fillId="0" borderId="0" applyFont="0" applyFill="0" applyProtection="0"/>
    <xf numFmtId="187" fontId="4" fillId="0" borderId="0" applyFont="0" applyFill="0" applyProtection="0"/>
    <xf numFmtId="0" fontId="4" fillId="0" borderId="0"/>
    <xf numFmtId="43" fontId="4" fillId="0" borderId="0" applyFont="0" applyFill="0" applyBorder="0" applyAlignment="0" applyProtection="0"/>
    <xf numFmtId="0" fontId="30" fillId="27" borderId="12"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4" fillId="0" borderId="0"/>
    <xf numFmtId="0" fontId="30" fillId="27" borderId="12"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12"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4" fillId="0" borderId="0"/>
    <xf numFmtId="43" fontId="4"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4"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4"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1"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1"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1"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12"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0" fontId="30" fillId="27" borderId="12" applyNumberFormat="0" applyFont="0" applyBorder="0" applyAlignment="0">
      <alignment horizontal="left" vertical="center"/>
    </xf>
    <xf numFmtId="43" fontId="1" fillId="0" borderId="0" applyFont="0" applyFill="0" applyBorder="0" applyAlignment="0" applyProtection="0"/>
    <xf numFmtId="0" fontId="30" fillId="27" borderId="12" applyNumberFormat="0" applyFont="0" applyBorder="0" applyAlignment="0">
      <alignment horizontal="left" vertical="center"/>
    </xf>
    <xf numFmtId="43" fontId="1" fillId="0" borderId="0" applyFont="0" applyFill="0" applyBorder="0" applyAlignment="0" applyProtection="0"/>
    <xf numFmtId="43" fontId="1" fillId="0" borderId="0" applyFont="0" applyFill="0" applyBorder="0" applyAlignment="0" applyProtection="0"/>
    <xf numFmtId="0" fontId="30" fillId="27" borderId="12"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12"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12"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12"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4"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4"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4"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1"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1"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1"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12"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164" fontId="1" fillId="0" borderId="0" applyFont="0" applyFill="0" applyBorder="0" applyAlignment="0" applyProtection="0"/>
    <xf numFmtId="0" fontId="30" fillId="27" borderId="12"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12"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4"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4"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4"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1"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1"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1"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12"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0" fontId="30" fillId="27" borderId="12" applyNumberFormat="0" applyFont="0" applyBorder="0" applyAlignment="0">
      <alignment horizontal="left" vertical="center"/>
    </xf>
    <xf numFmtId="43" fontId="1" fillId="0" borderId="0" applyFont="0" applyFill="0" applyBorder="0" applyAlignment="0" applyProtection="0"/>
    <xf numFmtId="0" fontId="30" fillId="27" borderId="12" applyNumberFormat="0" applyFont="0" applyBorder="0" applyAlignment="0">
      <alignment horizontal="left" vertical="center"/>
    </xf>
    <xf numFmtId="43" fontId="1" fillId="0" borderId="0" applyFont="0" applyFill="0" applyBorder="0" applyAlignment="0" applyProtection="0"/>
    <xf numFmtId="43" fontId="1" fillId="0" borderId="0" applyFont="0" applyFill="0" applyBorder="0" applyAlignment="0" applyProtection="0"/>
    <xf numFmtId="0" fontId="30" fillId="27" borderId="12"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12"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12"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12"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4"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4"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4"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1"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1"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1"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12"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0" fontId="30" fillId="27" borderId="12" applyNumberFormat="0" applyFont="0" applyBorder="0" applyAlignment="0">
      <alignment horizontal="left" vertical="center"/>
    </xf>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7"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191" fontId="4" fillId="0" borderId="0" applyFont="0" applyFill="0" applyBorder="0" applyAlignment="0" applyProtection="0"/>
    <xf numFmtId="43" fontId="4" fillId="0" borderId="0" applyFont="0" applyFill="0" applyBorder="0" applyAlignment="0" applyProtection="0"/>
    <xf numFmtId="191" fontId="4"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9" fillId="0" borderId="0"/>
    <xf numFmtId="0" fontId="4" fillId="0" borderId="0"/>
    <xf numFmtId="0" fontId="4" fillId="0" borderId="0"/>
    <xf numFmtId="0" fontId="1" fillId="0" borderId="0"/>
    <xf numFmtId="0" fontId="1" fillId="0" borderId="0"/>
    <xf numFmtId="0" fontId="1" fillId="0" borderId="0"/>
    <xf numFmtId="191" fontId="4" fillId="0" borderId="0" applyFont="0" applyFill="0" applyBorder="0" applyAlignment="0" applyProtection="0"/>
    <xf numFmtId="0" fontId="1" fillId="0" borderId="0"/>
    <xf numFmtId="0" fontId="1" fillId="0" borderId="0"/>
    <xf numFmtId="0" fontId="1" fillId="0" borderId="0"/>
    <xf numFmtId="9" fontId="7" fillId="0" borderId="0" applyFont="0" applyFill="0" applyBorder="0" applyAlignment="0" applyProtection="0"/>
    <xf numFmtId="44" fontId="7" fillId="0" borderId="0" applyFont="0" applyFill="0" applyBorder="0" applyAlignment="0" applyProtection="0"/>
    <xf numFmtId="0" fontId="1" fillId="0" borderId="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84" applyNumberFormat="0" applyFont="0" applyAlignment="0">
      <alignment horizontal="left" vertical="top" indent="1"/>
    </xf>
    <xf numFmtId="0" fontId="11" fillId="21" borderId="86" applyNumberFormat="0" applyAlignment="0" applyProtection="0"/>
    <xf numFmtId="0" fontId="18" fillId="8" borderId="86" applyNumberFormat="0" applyAlignment="0" applyProtection="0"/>
    <xf numFmtId="0" fontId="4" fillId="24" borderId="87" applyNumberFormat="0" applyFont="0" applyAlignment="0" applyProtection="0"/>
    <xf numFmtId="0" fontId="21" fillId="21" borderId="88" applyNumberFormat="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24" borderId="87" applyNumberFormat="0" applyFont="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0" fillId="27" borderId="59"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89" applyNumberFormat="0" applyAlignment="0"/>
    <xf numFmtId="0" fontId="11" fillId="21" borderId="86" applyNumberFormat="0" applyAlignment="0" applyProtection="0"/>
    <xf numFmtId="0" fontId="18" fillId="8" borderId="86" applyNumberFormat="0" applyAlignment="0" applyProtection="0"/>
    <xf numFmtId="0" fontId="4" fillId="24" borderId="87" applyNumberFormat="0" applyFont="0" applyAlignment="0" applyProtection="0"/>
    <xf numFmtId="0" fontId="21" fillId="21" borderId="88" applyNumberFormat="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0" fontId="45" fillId="0" borderId="90" applyNumberFormat="0" applyFill="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7"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0" fontId="30" fillId="27" borderId="59"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9"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59"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4"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4"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4"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1"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1"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1"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9"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0" fontId="30" fillId="27" borderId="59" applyNumberFormat="0" applyFont="0" applyBorder="0" applyAlignment="0">
      <alignment horizontal="left" vertical="center"/>
    </xf>
    <xf numFmtId="43" fontId="1" fillId="0" borderId="0" applyFont="0" applyFill="0" applyBorder="0" applyAlignment="0" applyProtection="0"/>
    <xf numFmtId="0" fontId="30" fillId="27" borderId="59" applyNumberFormat="0" applyFont="0" applyBorder="0" applyAlignment="0">
      <alignment horizontal="left" vertical="center"/>
    </xf>
    <xf numFmtId="43" fontId="1" fillId="0" borderId="0" applyFont="0" applyFill="0" applyBorder="0" applyAlignment="0" applyProtection="0"/>
    <xf numFmtId="43" fontId="1" fillId="0" borderId="0" applyFont="0" applyFill="0" applyBorder="0" applyAlignment="0" applyProtection="0"/>
    <xf numFmtId="0" fontId="30" fillId="27" borderId="59"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59"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9"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59"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4"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4"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4"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1"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1"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1"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9"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59"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4"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4"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4"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1"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1"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1"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9"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0" fontId="30" fillId="27" borderId="59" applyNumberFormat="0" applyFont="0" applyBorder="0" applyAlignment="0">
      <alignment horizontal="left" vertical="center"/>
    </xf>
    <xf numFmtId="43" fontId="1" fillId="0" borderId="0" applyFont="0" applyFill="0" applyBorder="0" applyAlignment="0" applyProtection="0"/>
    <xf numFmtId="0" fontId="30" fillId="27" borderId="59" applyNumberFormat="0" applyFont="0" applyBorder="0" applyAlignment="0">
      <alignment horizontal="left" vertical="center"/>
    </xf>
    <xf numFmtId="43" fontId="1" fillId="0" borderId="0" applyFont="0" applyFill="0" applyBorder="0" applyAlignment="0" applyProtection="0"/>
    <xf numFmtId="43" fontId="1" fillId="0" borderId="0" applyFont="0" applyFill="0" applyBorder="0" applyAlignment="0" applyProtection="0"/>
    <xf numFmtId="0" fontId="30" fillId="27" borderId="59"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59"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9"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59"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4"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4"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4"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1"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1"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1"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30" fillId="27" borderId="59" applyNumberFormat="0" applyFont="0" applyBorder="0" applyAlignment="0">
      <alignment horizontal="left" vertical="center"/>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0" fontId="30" fillId="27" borderId="59" applyNumberFormat="0" applyFont="0" applyBorder="0" applyAlignment="0">
      <alignment horizontal="left" vertical="center"/>
    </xf>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7"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4" fontId="7" fillId="0" borderId="0" applyFont="0" applyFill="0" applyBorder="0" applyAlignment="0" applyProtection="0"/>
    <xf numFmtId="0" fontId="1" fillId="0" borderId="0"/>
    <xf numFmtId="0" fontId="124" fillId="0" borderId="113"/>
    <xf numFmtId="191" fontId="4" fillId="0" borderId="0" applyFont="0" applyFill="0" applyBorder="0" applyAlignment="0" applyProtection="0"/>
    <xf numFmtId="191" fontId="4" fillId="0" borderId="0" applyFont="0" applyFill="0" applyBorder="0" applyAlignment="0" applyProtection="0"/>
    <xf numFmtId="0" fontId="124" fillId="0" borderId="0"/>
    <xf numFmtId="0" fontId="125" fillId="38" borderId="0"/>
    <xf numFmtId="0" fontId="125" fillId="38" borderId="0"/>
    <xf numFmtId="0" fontId="125" fillId="39" borderId="0"/>
    <xf numFmtId="0" fontId="125" fillId="39" borderId="0"/>
    <xf numFmtId="0" fontId="126" fillId="40" borderId="0"/>
    <xf numFmtId="0" fontId="126" fillId="40" borderId="0"/>
    <xf numFmtId="0" fontId="126" fillId="0" borderId="0"/>
    <xf numFmtId="0" fontId="126" fillId="0" borderId="0"/>
    <xf numFmtId="0" fontId="127" fillId="41" borderId="0"/>
    <xf numFmtId="0" fontId="127" fillId="41" borderId="0"/>
    <xf numFmtId="204" fontId="128" fillId="0" borderId="0"/>
    <xf numFmtId="204" fontId="128" fillId="0" borderId="0"/>
    <xf numFmtId="204" fontId="128" fillId="0" borderId="0"/>
    <xf numFmtId="204" fontId="128" fillId="0" borderId="0"/>
    <xf numFmtId="204" fontId="128" fillId="0" borderId="0"/>
    <xf numFmtId="204" fontId="128" fillId="0" borderId="0"/>
    <xf numFmtId="204" fontId="128" fillId="0" borderId="0"/>
    <xf numFmtId="0" fontId="129" fillId="42" borderId="0"/>
    <xf numFmtId="0" fontId="129" fillId="42" borderId="0"/>
    <xf numFmtId="204" fontId="128" fillId="0" borderId="0"/>
    <xf numFmtId="9" fontId="128" fillId="0" borderId="0"/>
    <xf numFmtId="0" fontId="130" fillId="0" borderId="0"/>
    <xf numFmtId="0" fontId="130" fillId="0" borderId="0"/>
    <xf numFmtId="0" fontId="131" fillId="43" borderId="0"/>
    <xf numFmtId="0" fontId="131" fillId="43" borderId="0"/>
    <xf numFmtId="0" fontId="132" fillId="0" borderId="0"/>
    <xf numFmtId="0" fontId="132" fillId="0" borderId="0"/>
    <xf numFmtId="0" fontId="133" fillId="0" borderId="0"/>
    <xf numFmtId="0" fontId="134" fillId="0" borderId="0"/>
    <xf numFmtId="0" fontId="134" fillId="0" borderId="0"/>
    <xf numFmtId="0" fontId="135"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xf numFmtId="0" fontId="137" fillId="0" borderId="0"/>
    <xf numFmtId="0" fontId="138" fillId="0" borderId="0"/>
    <xf numFmtId="0" fontId="139" fillId="0" borderId="0"/>
    <xf numFmtId="44" fontId="4" fillId="0" borderId="0" applyNumberFormat="0" applyFont="0" applyFill="0" applyBorder="0" applyAlignment="0" applyProtection="0"/>
    <xf numFmtId="44" fontId="4" fillId="0" borderId="0" applyFont="0" applyFill="0" applyBorder="0" applyAlignment="0" applyProtection="0"/>
    <xf numFmtId="44" fontId="4" fillId="0" borderId="0" applyNumberFormat="0" applyFont="0" applyFill="0" applyBorder="0" applyAlignment="0" applyProtection="0"/>
    <xf numFmtId="0" fontId="140" fillId="44" borderId="0"/>
    <xf numFmtId="0" fontId="140" fillId="44" borderId="0"/>
    <xf numFmtId="0" fontId="128" fillId="0" borderId="0"/>
    <xf numFmtId="0" fontId="128" fillId="0" borderId="0"/>
    <xf numFmtId="0" fontId="128" fillId="0" borderId="0"/>
    <xf numFmtId="0" fontId="141" fillId="0" borderId="0"/>
    <xf numFmtId="0" fontId="141" fillId="0" borderId="0"/>
    <xf numFmtId="0" fontId="4" fillId="0" borderId="0"/>
    <xf numFmtId="0" fontId="108" fillId="0" borderId="0"/>
    <xf numFmtId="0" fontId="142" fillId="0" borderId="0"/>
    <xf numFmtId="0" fontId="128" fillId="0" borderId="0"/>
    <xf numFmtId="0" fontId="128" fillId="0" borderId="0"/>
    <xf numFmtId="0" fontId="7" fillId="0" borderId="0"/>
    <xf numFmtId="0" fontId="1" fillId="0" borderId="0"/>
    <xf numFmtId="0" fontId="1" fillId="0" borderId="0"/>
    <xf numFmtId="0" fontId="1" fillId="0" borderId="0"/>
    <xf numFmtId="0" fontId="1" fillId="0" borderId="0"/>
    <xf numFmtId="0" fontId="143" fillId="0" borderId="0"/>
    <xf numFmtId="0" fontId="1" fillId="0" borderId="0"/>
    <xf numFmtId="0" fontId="1" fillId="0" borderId="0"/>
    <xf numFmtId="0" fontId="144" fillId="0" borderId="0"/>
    <xf numFmtId="0" fontId="145" fillId="0" borderId="0"/>
    <xf numFmtId="0" fontId="1" fillId="0" borderId="0"/>
    <xf numFmtId="0" fontId="143" fillId="0" borderId="0"/>
    <xf numFmtId="49" fontId="4" fillId="45" borderId="114" applyNumberFormat="0" applyFont="0" applyFill="0" applyBorder="0" applyAlignment="0">
      <alignment horizontal="center" vertical="center" wrapText="1"/>
    </xf>
    <xf numFmtId="0" fontId="128" fillId="0" borderId="0"/>
    <xf numFmtId="0" fontId="1" fillId="0" borderId="0"/>
    <xf numFmtId="0" fontId="128" fillId="0" borderId="0"/>
    <xf numFmtId="0" fontId="124" fillId="0" borderId="0"/>
    <xf numFmtId="0" fontId="4" fillId="0" borderId="0" applyNumberFormat="0" applyFont="0" applyFill="0" applyBorder="0" applyAlignment="0" applyProtection="0"/>
    <xf numFmtId="0" fontId="128" fillId="0" borderId="0"/>
    <xf numFmtId="0" fontId="128" fillId="0" borderId="0"/>
    <xf numFmtId="0" fontId="4" fillId="0" borderId="0" applyNumberFormat="0" applyFont="0" applyFill="0" applyBorder="0" applyAlignment="0" applyProtection="0"/>
    <xf numFmtId="0" fontId="128" fillId="0" borderId="0"/>
    <xf numFmtId="0" fontId="1" fillId="0" borderId="0"/>
    <xf numFmtId="0" fontId="1" fillId="0" borderId="0"/>
    <xf numFmtId="0" fontId="128" fillId="0" borderId="0"/>
    <xf numFmtId="0" fontId="143" fillId="0" borderId="0"/>
    <xf numFmtId="0" fontId="128" fillId="0" borderId="0"/>
    <xf numFmtId="0" fontId="128" fillId="0" borderId="0"/>
    <xf numFmtId="0" fontId="145" fillId="0" borderId="0"/>
    <xf numFmtId="0" fontId="146" fillId="44" borderId="115"/>
    <xf numFmtId="0" fontId="146" fillId="44" borderId="115"/>
    <xf numFmtId="9" fontId="128" fillId="0" borderId="0"/>
    <xf numFmtId="9" fontId="128" fillId="0" borderId="0"/>
    <xf numFmtId="9" fontId="128" fillId="0" borderId="0"/>
    <xf numFmtId="9" fontId="4" fillId="0" borderId="0" applyFont="0" applyFill="0" applyBorder="0" applyAlignment="0" applyProtection="0"/>
    <xf numFmtId="9" fontId="4" fillId="0" borderId="0" applyNumberFormat="0" applyFont="0" applyFill="0" applyBorder="0" applyAlignment="0" applyProtection="0"/>
    <xf numFmtId="9" fontId="128" fillId="0" borderId="0"/>
    <xf numFmtId="9" fontId="1" fillId="0" borderId="0" applyFont="0" applyFill="0" applyBorder="0" applyAlignment="0" applyProtection="0"/>
    <xf numFmtId="9" fontId="143" fillId="0" borderId="0"/>
    <xf numFmtId="9" fontId="1" fillId="0" borderId="0" applyFont="0" applyFill="0" applyBorder="0" applyAlignment="0" applyProtection="0"/>
    <xf numFmtId="9" fontId="128" fillId="0" borderId="0"/>
    <xf numFmtId="9" fontId="1" fillId="0" borderId="0" applyFont="0" applyFill="0" applyBorder="0" applyAlignment="0" applyProtection="0"/>
    <xf numFmtId="0" fontId="124" fillId="0" borderId="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43" fillId="0" borderId="0" applyBorder="0" applyProtection="0"/>
    <xf numFmtId="9" fontId="142" fillId="0" borderId="0" applyFont="0" applyFill="0" applyBorder="0" applyAlignment="0" applyProtection="0"/>
    <xf numFmtId="43" fontId="4" fillId="0" borderId="0" applyNumberFormat="0" applyFont="0" applyFill="0" applyBorder="0" applyAlignment="0" applyProtection="0"/>
    <xf numFmtId="0" fontId="128" fillId="0" borderId="0"/>
    <xf numFmtId="0" fontId="128" fillId="0" borderId="0"/>
    <xf numFmtId="0" fontId="128" fillId="0" borderId="0"/>
    <xf numFmtId="0" fontId="128" fillId="0" borderId="0"/>
    <xf numFmtId="43" fontId="4" fillId="0" borderId="0" applyFont="0" applyFill="0" applyBorder="0" applyAlignment="0" applyProtection="0"/>
    <xf numFmtId="205" fontId="128" fillId="0" borderId="0"/>
    <xf numFmtId="43" fontId="4" fillId="0" borderId="0" applyFont="0" applyFill="0" applyBorder="0" applyAlignment="0" applyProtection="0"/>
    <xf numFmtId="43" fontId="7" fillId="0" borderId="0" applyFont="0" applyFill="0" applyBorder="0" applyAlignment="0" applyProtection="0"/>
    <xf numFmtId="204" fontId="128" fillId="0" borderId="0"/>
    <xf numFmtId="206" fontId="147" fillId="0" borderId="0"/>
    <xf numFmtId="207" fontId="143" fillId="0" borderId="0" applyBorder="0" applyProtection="0"/>
    <xf numFmtId="0" fontId="127" fillId="0" borderId="0"/>
    <xf numFmtId="0" fontId="127" fillId="0" borderId="0"/>
    <xf numFmtId="0" fontId="4" fillId="0" borderId="0"/>
    <xf numFmtId="0" fontId="1" fillId="0" borderId="0"/>
    <xf numFmtId="9" fontId="1" fillId="0" borderId="0" applyFont="0" applyFill="0" applyBorder="0" applyAlignment="0" applyProtection="0"/>
    <xf numFmtId="0" fontId="142" fillId="0" borderId="0"/>
    <xf numFmtId="0" fontId="142" fillId="0" borderId="0"/>
    <xf numFmtId="43" fontId="4" fillId="0" borderId="0" applyNumberFormat="0" applyFont="0" applyFill="0" applyBorder="0" applyAlignment="0" applyProtection="0"/>
    <xf numFmtId="43" fontId="4" fillId="0" borderId="0" applyNumberFormat="0" applyFont="0" applyFill="0" applyBorder="0" applyAlignment="0" applyProtection="0"/>
    <xf numFmtId="43" fontId="4" fillId="0" borderId="0" applyNumberFormat="0" applyFont="0" applyFill="0" applyBorder="0" applyAlignment="0" applyProtection="0"/>
    <xf numFmtId="43" fontId="4" fillId="0" borderId="0" applyNumberFormat="0" applyFont="0" applyFill="0" applyBorder="0" applyAlignment="0" applyProtection="0"/>
    <xf numFmtId="43" fontId="4" fillId="0" borderId="0" applyNumberFormat="0" applyFont="0" applyFill="0" applyBorder="0" applyAlignment="0" applyProtection="0"/>
    <xf numFmtId="43" fontId="4" fillId="0" borderId="0" applyNumberFormat="0" applyFont="0" applyFill="0" applyBorder="0" applyAlignment="0" applyProtection="0"/>
    <xf numFmtId="43" fontId="4" fillId="0" borderId="0" applyNumberFormat="0" applyFont="0" applyFill="0" applyBorder="0" applyAlignment="0" applyProtection="0"/>
    <xf numFmtId="43" fontId="4" fillId="0" borderId="0" applyNumberFormat="0" applyFont="0" applyFill="0" applyBorder="0" applyAlignment="0" applyProtection="0"/>
    <xf numFmtId="43" fontId="4" fillId="0" borderId="0" applyNumberFormat="0" applyFont="0" applyFill="0" applyBorder="0" applyAlignment="0" applyProtection="0"/>
    <xf numFmtId="0" fontId="124" fillId="0" borderId="0"/>
    <xf numFmtId="9" fontId="1" fillId="0" borderId="0" applyFont="0" applyFill="0" applyBorder="0" applyAlignment="0" applyProtection="0"/>
    <xf numFmtId="0" fontId="4" fillId="0" borderId="113"/>
    <xf numFmtId="207" fontId="128" fillId="0" borderId="0" applyBorder="0" applyProtection="0"/>
    <xf numFmtId="211" fontId="128" fillId="0" borderId="0" applyBorder="0" applyProtection="0"/>
    <xf numFmtId="0" fontId="141" fillId="0" borderId="0"/>
    <xf numFmtId="0" fontId="141" fillId="0" borderId="0"/>
    <xf numFmtId="0" fontId="128" fillId="0" borderId="0"/>
    <xf numFmtId="0" fontId="141" fillId="0" borderId="0"/>
    <xf numFmtId="0" fontId="141" fillId="0" borderId="0"/>
    <xf numFmtId="0" fontId="128" fillId="0" borderId="0"/>
    <xf numFmtId="0" fontId="128" fillId="0" borderId="0"/>
    <xf numFmtId="166" fontId="128" fillId="0" borderId="0" applyBorder="0" applyProtection="0"/>
    <xf numFmtId="207" fontId="128" fillId="0" borderId="0" applyBorder="0" applyProtection="0"/>
    <xf numFmtId="43" fontId="1"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cellStyleXfs>
  <cellXfs count="2752">
    <xf numFmtId="0" fontId="0" fillId="0" borderId="0" xfId="0"/>
    <xf numFmtId="0" fontId="47" fillId="0" borderId="0" xfId="0" applyFont="1" applyAlignment="1">
      <alignment vertical="center"/>
    </xf>
    <xf numFmtId="0" fontId="49" fillId="0" borderId="0" xfId="0" applyFont="1" applyAlignment="1">
      <alignment vertical="center"/>
    </xf>
    <xf numFmtId="0" fontId="52" fillId="0" borderId="0" xfId="0" applyFont="1" applyAlignment="1">
      <alignment vertical="center"/>
    </xf>
    <xf numFmtId="0" fontId="52" fillId="0" borderId="14" xfId="0" applyFont="1" applyBorder="1" applyAlignment="1">
      <alignment vertical="center"/>
    </xf>
    <xf numFmtId="43" fontId="50" fillId="0" borderId="0" xfId="1" applyFont="1" applyBorder="1" applyAlignment="1">
      <alignment horizontal="center" vertical="center"/>
    </xf>
    <xf numFmtId="43" fontId="49" fillId="0" borderId="0" xfId="1" applyFont="1" applyBorder="1" applyAlignment="1">
      <alignment horizontal="center" vertical="center"/>
    </xf>
    <xf numFmtId="0" fontId="4" fillId="28" borderId="14" xfId="0" applyFont="1" applyFill="1" applyBorder="1" applyAlignment="1">
      <alignment vertical="center"/>
    </xf>
    <xf numFmtId="0" fontId="4" fillId="0" borderId="0" xfId="3032"/>
    <xf numFmtId="0" fontId="4" fillId="28" borderId="0" xfId="3032" applyFill="1"/>
    <xf numFmtId="0" fontId="4" fillId="0" borderId="27" xfId="3032" applyBorder="1"/>
    <xf numFmtId="0" fontId="4" fillId="0" borderId="48" xfId="3032" applyBorder="1"/>
    <xf numFmtId="0" fontId="4" fillId="0" borderId="0" xfId="3032" applyAlignment="1">
      <alignment horizontal="center" vertical="center"/>
    </xf>
    <xf numFmtId="4" fontId="4" fillId="0" borderId="0" xfId="3032" applyNumberFormat="1"/>
    <xf numFmtId="0" fontId="4" fillId="28" borderId="0" xfId="3032" applyFill="1" applyAlignment="1">
      <alignment horizontal="center" vertical="center"/>
    </xf>
    <xf numFmtId="2" fontId="4" fillId="0" borderId="0" xfId="3032" applyNumberFormat="1"/>
    <xf numFmtId="0" fontId="3" fillId="0" borderId="0" xfId="3032" applyFont="1" applyAlignment="1">
      <alignment horizontal="center" vertical="center"/>
    </xf>
    <xf numFmtId="2" fontId="3" fillId="0" borderId="0" xfId="3032" applyNumberFormat="1" applyFont="1"/>
    <xf numFmtId="0" fontId="3" fillId="0" borderId="0" xfId="3032" applyFont="1"/>
    <xf numFmtId="0" fontId="67" fillId="32" borderId="0" xfId="3032" applyFont="1" applyFill="1" applyAlignment="1">
      <alignment horizontal="center" vertical="center"/>
    </xf>
    <xf numFmtId="0" fontId="67" fillId="32" borderId="0" xfId="3032" applyFont="1" applyFill="1" applyAlignment="1">
      <alignment vertical="center"/>
    </xf>
    <xf numFmtId="2" fontId="67" fillId="32" borderId="0" xfId="3032" applyNumberFormat="1" applyFont="1" applyFill="1" applyAlignment="1">
      <alignment vertical="center"/>
    </xf>
    <xf numFmtId="0" fontId="74" fillId="28" borderId="0" xfId="3032" applyFont="1" applyFill="1"/>
    <xf numFmtId="0" fontId="64" fillId="32" borderId="0" xfId="3032" applyFont="1" applyFill="1" applyAlignment="1">
      <alignment horizontal="center" vertical="center"/>
    </xf>
    <xf numFmtId="0" fontId="28" fillId="26" borderId="49" xfId="3032" applyFont="1" applyFill="1" applyBorder="1" applyAlignment="1">
      <alignment vertical="distributed" wrapText="1"/>
    </xf>
    <xf numFmtId="0" fontId="28" fillId="26" borderId="50" xfId="3032" applyFont="1" applyFill="1" applyBorder="1" applyAlignment="1">
      <alignment vertical="distributed" wrapText="1"/>
    </xf>
    <xf numFmtId="0" fontId="4" fillId="28" borderId="0" xfId="3032" applyFill="1" applyAlignment="1">
      <alignment horizontal="center"/>
    </xf>
    <xf numFmtId="1" fontId="4" fillId="28" borderId="0" xfId="3032" applyNumberFormat="1" applyFill="1" applyAlignment="1">
      <alignment horizontal="center"/>
    </xf>
    <xf numFmtId="0" fontId="64" fillId="28" borderId="0" xfId="3032" applyFont="1" applyFill="1"/>
    <xf numFmtId="0" fontId="64" fillId="32" borderId="0" xfId="3032" applyFont="1" applyFill="1"/>
    <xf numFmtId="0" fontId="3" fillId="0" borderId="33" xfId="283" applyFont="1" applyBorder="1" applyAlignment="1">
      <alignment horizontal="left" vertical="center" wrapText="1"/>
    </xf>
    <xf numFmtId="1" fontId="3" fillId="0" borderId="34" xfId="3032" applyNumberFormat="1" applyFont="1" applyBorder="1" applyAlignment="1">
      <alignment horizontal="center" vertical="center" wrapText="1"/>
    </xf>
    <xf numFmtId="1" fontId="3" fillId="0" borderId="35" xfId="3032" applyNumberFormat="1" applyFont="1" applyBorder="1" applyAlignment="1">
      <alignment horizontal="center" vertical="center" wrapText="1"/>
    </xf>
    <xf numFmtId="2" fontId="3" fillId="0" borderId="32" xfId="3032" applyNumberFormat="1" applyFont="1" applyBorder="1" applyAlignment="1">
      <alignment horizontal="center" vertical="center" wrapText="1"/>
    </xf>
    <xf numFmtId="0" fontId="3" fillId="0" borderId="33" xfId="3032" applyFont="1" applyBorder="1" applyAlignment="1">
      <alignment horizontal="center" vertical="center" wrapText="1"/>
    </xf>
    <xf numFmtId="43" fontId="3" fillId="0" borderId="33" xfId="1" applyFont="1" applyFill="1" applyBorder="1" applyAlignment="1">
      <alignment horizontal="center" vertical="center" wrapText="1"/>
    </xf>
    <xf numFmtId="43" fontId="3" fillId="0" borderId="32" xfId="1" applyFont="1" applyFill="1" applyBorder="1" applyAlignment="1">
      <alignment horizontal="center" vertical="center" wrapText="1"/>
    </xf>
    <xf numFmtId="174" fontId="3" fillId="0" borderId="32" xfId="1" applyNumberFormat="1" applyFont="1" applyFill="1" applyBorder="1" applyAlignment="1">
      <alignment horizontal="center" vertical="distributed" wrapText="1"/>
    </xf>
    <xf numFmtId="169" fontId="3" fillId="0" borderId="32" xfId="3032" applyNumberFormat="1" applyFont="1" applyBorder="1" applyAlignment="1">
      <alignment horizontal="center" vertical="distributed" wrapText="1"/>
    </xf>
    <xf numFmtId="0" fontId="3" fillId="28" borderId="33" xfId="3032" applyFont="1" applyFill="1" applyBorder="1" applyAlignment="1">
      <alignment horizontal="left" vertical="distributed" wrapText="1"/>
    </xf>
    <xf numFmtId="1" fontId="75" fillId="0" borderId="33" xfId="3032" applyNumberFormat="1" applyFont="1" applyBorder="1" applyAlignment="1">
      <alignment horizontal="center" vertical="center" wrapText="1"/>
    </xf>
    <xf numFmtId="0" fontId="4" fillId="33" borderId="0" xfId="3032" applyFill="1" applyAlignment="1">
      <alignment horizontal="center"/>
    </xf>
    <xf numFmtId="2" fontId="4" fillId="28" borderId="0" xfId="3032" applyNumberFormat="1" applyFill="1"/>
    <xf numFmtId="1" fontId="3" fillId="28" borderId="34" xfId="3032" applyNumberFormat="1" applyFont="1" applyFill="1" applyBorder="1" applyAlignment="1">
      <alignment horizontal="right" vertical="center" wrapText="1"/>
    </xf>
    <xf numFmtId="1" fontId="3" fillId="28" borderId="35" xfId="3032" applyNumberFormat="1" applyFont="1" applyFill="1" applyBorder="1" applyAlignment="1">
      <alignment horizontal="center" vertical="center" wrapText="1"/>
    </xf>
    <xf numFmtId="2" fontId="3" fillId="28" borderId="32" xfId="3032" applyNumberFormat="1" applyFont="1" applyFill="1" applyBorder="1" applyAlignment="1">
      <alignment horizontal="left" vertical="center" wrapText="1"/>
    </xf>
    <xf numFmtId="0" fontId="3" fillId="28" borderId="33" xfId="3032" applyFont="1" applyFill="1" applyBorder="1" applyAlignment="1">
      <alignment horizontal="center" vertical="center" wrapText="1"/>
    </xf>
    <xf numFmtId="43" fontId="3" fillId="28" borderId="34" xfId="1" applyFont="1" applyFill="1" applyBorder="1" applyAlignment="1">
      <alignment horizontal="center" vertical="center" wrapText="1"/>
    </xf>
    <xf numFmtId="43" fontId="3" fillId="28" borderId="33" xfId="1" applyFont="1" applyFill="1" applyBorder="1" applyAlignment="1">
      <alignment horizontal="center" vertical="center" wrapText="1"/>
    </xf>
    <xf numFmtId="43" fontId="3" fillId="28" borderId="32" xfId="1" applyFont="1" applyFill="1" applyBorder="1" applyAlignment="1">
      <alignment horizontal="center" vertical="center" wrapText="1"/>
    </xf>
    <xf numFmtId="43" fontId="3" fillId="28" borderId="34" xfId="1" applyFont="1" applyFill="1" applyBorder="1" applyAlignment="1">
      <alignment horizontal="center" vertical="distributed" wrapText="1"/>
    </xf>
    <xf numFmtId="174" fontId="3" fillId="28" borderId="34" xfId="1" applyNumberFormat="1" applyFont="1" applyFill="1" applyBorder="1" applyAlignment="1">
      <alignment horizontal="center" vertical="distributed" wrapText="1"/>
    </xf>
    <xf numFmtId="174" fontId="3" fillId="28" borderId="33" xfId="1" applyNumberFormat="1" applyFont="1" applyFill="1" applyBorder="1" applyAlignment="1">
      <alignment horizontal="center" vertical="center" wrapText="1"/>
    </xf>
    <xf numFmtId="174" fontId="3" fillId="28" borderId="32" xfId="1" applyNumberFormat="1" applyFont="1" applyFill="1" applyBorder="1" applyAlignment="1">
      <alignment horizontal="center" vertical="distributed" wrapText="1"/>
    </xf>
    <xf numFmtId="169" fontId="3" fillId="28" borderId="32" xfId="3032" applyNumberFormat="1" applyFont="1" applyFill="1" applyBorder="1" applyAlignment="1">
      <alignment horizontal="center" vertical="distributed" wrapText="1"/>
    </xf>
    <xf numFmtId="2" fontId="3" fillId="28" borderId="33" xfId="3032" applyNumberFormat="1" applyFont="1" applyFill="1" applyBorder="1" applyAlignment="1">
      <alignment horizontal="center" vertical="distributed" wrapText="1"/>
    </xf>
    <xf numFmtId="0" fontId="3" fillId="28" borderId="33" xfId="3032" applyFont="1" applyFill="1" applyBorder="1" applyAlignment="1">
      <alignment horizontal="center" vertical="distributed" wrapText="1"/>
    </xf>
    <xf numFmtId="1" fontId="3" fillId="28" borderId="33" xfId="3032" applyNumberFormat="1" applyFont="1" applyFill="1" applyBorder="1" applyAlignment="1">
      <alignment horizontal="center" vertical="center" wrapText="1"/>
    </xf>
    <xf numFmtId="0" fontId="3" fillId="28" borderId="33" xfId="283" applyFont="1" applyFill="1" applyBorder="1" applyAlignment="1">
      <alignment horizontal="left" vertical="center" wrapText="1"/>
    </xf>
    <xf numFmtId="1" fontId="3" fillId="28" borderId="37" xfId="3032" applyNumberFormat="1" applyFont="1" applyFill="1" applyBorder="1" applyAlignment="1">
      <alignment horizontal="center" vertical="center" wrapText="1"/>
    </xf>
    <xf numFmtId="0" fontId="3" fillId="28" borderId="37" xfId="283" applyFont="1" applyFill="1" applyBorder="1" applyAlignment="1">
      <alignment horizontal="left" vertical="center" wrapText="1"/>
    </xf>
    <xf numFmtId="1" fontId="3" fillId="28" borderId="44" xfId="3032" applyNumberFormat="1" applyFont="1" applyFill="1" applyBorder="1" applyAlignment="1">
      <alignment horizontal="center" vertical="center" wrapText="1"/>
    </xf>
    <xf numFmtId="0" fontId="3" fillId="28" borderId="37" xfId="3032" applyFont="1" applyFill="1" applyBorder="1" applyAlignment="1">
      <alignment horizontal="center" vertical="center" wrapText="1"/>
    </xf>
    <xf numFmtId="43" fontId="3" fillId="28" borderId="38" xfId="1" applyFont="1" applyFill="1" applyBorder="1" applyAlignment="1">
      <alignment horizontal="center" vertical="center" wrapText="1"/>
    </xf>
    <xf numFmtId="43" fontId="3" fillId="28" borderId="37" xfId="1" applyFont="1" applyFill="1" applyBorder="1" applyAlignment="1">
      <alignment horizontal="center" vertical="center" wrapText="1"/>
    </xf>
    <xf numFmtId="43" fontId="3" fillId="28" borderId="36" xfId="1" applyFont="1" applyFill="1" applyBorder="1" applyAlignment="1">
      <alignment horizontal="center" vertical="center" wrapText="1"/>
    </xf>
    <xf numFmtId="43" fontId="3" fillId="28" borderId="38" xfId="1" applyFont="1" applyFill="1" applyBorder="1" applyAlignment="1">
      <alignment horizontal="center" vertical="distributed" wrapText="1"/>
    </xf>
    <xf numFmtId="174" fontId="3" fillId="28" borderId="38" xfId="1" applyNumberFormat="1" applyFont="1" applyFill="1" applyBorder="1" applyAlignment="1">
      <alignment horizontal="center" vertical="distributed" wrapText="1"/>
    </xf>
    <xf numFmtId="174" fontId="3" fillId="28" borderId="37" xfId="1" applyNumberFormat="1" applyFont="1" applyFill="1" applyBorder="1" applyAlignment="1">
      <alignment horizontal="center" vertical="center" wrapText="1"/>
    </xf>
    <xf numFmtId="174" fontId="3" fillId="28" borderId="36" xfId="1" applyNumberFormat="1" applyFont="1" applyFill="1" applyBorder="1" applyAlignment="1">
      <alignment horizontal="center" vertical="distributed" wrapText="1"/>
    </xf>
    <xf numFmtId="169" fontId="3" fillId="28" borderId="36" xfId="3032" applyNumberFormat="1" applyFont="1" applyFill="1" applyBorder="1" applyAlignment="1">
      <alignment horizontal="center" vertical="distributed" wrapText="1"/>
    </xf>
    <xf numFmtId="0" fontId="3" fillId="28" borderId="37" xfId="3032" applyFont="1" applyFill="1" applyBorder="1" applyAlignment="1">
      <alignment horizontal="center" vertical="distributed" wrapText="1"/>
    </xf>
    <xf numFmtId="0" fontId="28" fillId="28" borderId="7" xfId="0" applyFont="1" applyFill="1" applyBorder="1" applyAlignment="1">
      <alignment vertical="center" wrapText="1"/>
    </xf>
    <xf numFmtId="0" fontId="28" fillId="28" borderId="27" xfId="0" applyFont="1" applyFill="1" applyBorder="1" applyAlignment="1">
      <alignment vertical="center" wrapText="1"/>
    </xf>
    <xf numFmtId="1" fontId="4" fillId="0" borderId="0" xfId="3032" applyNumberFormat="1"/>
    <xf numFmtId="43" fontId="3" fillId="0" borderId="33" xfId="1" applyFont="1" applyBorder="1" applyAlignment="1">
      <alignment horizontal="center" vertical="center" wrapText="1"/>
    </xf>
    <xf numFmtId="0" fontId="75" fillId="0" borderId="33" xfId="283" applyFont="1" applyBorder="1" applyAlignment="1">
      <alignment horizontal="left" vertical="center" wrapText="1"/>
    </xf>
    <xf numFmtId="0" fontId="75" fillId="0" borderId="33" xfId="3032" applyFont="1" applyBorder="1" applyAlignment="1">
      <alignment horizontal="center" vertical="center" wrapText="1"/>
    </xf>
    <xf numFmtId="0" fontId="3" fillId="0" borderId="33" xfId="3032" applyFont="1" applyBorder="1" applyAlignment="1">
      <alignment horizontal="left" vertical="distributed" wrapText="1"/>
    </xf>
    <xf numFmtId="0" fontId="75" fillId="28" borderId="33" xfId="283" applyFont="1" applyFill="1" applyBorder="1" applyAlignment="1">
      <alignment horizontal="left" vertical="center" wrapText="1"/>
    </xf>
    <xf numFmtId="0" fontId="3" fillId="28" borderId="33" xfId="3032" applyFont="1" applyFill="1" applyBorder="1" applyAlignment="1">
      <alignment horizontal="center" wrapText="1"/>
    </xf>
    <xf numFmtId="43" fontId="3" fillId="0" borderId="34" xfId="1" applyFont="1" applyFill="1" applyBorder="1" applyAlignment="1">
      <alignment horizontal="center" vertical="distributed" wrapText="1"/>
    </xf>
    <xf numFmtId="1" fontId="3" fillId="28" borderId="34" xfId="3032" applyNumberFormat="1" applyFont="1" applyFill="1" applyBorder="1" applyAlignment="1">
      <alignment horizontal="center" vertical="center" wrapText="1"/>
    </xf>
    <xf numFmtId="2" fontId="3" fillId="28" borderId="32" xfId="3032" applyNumberFormat="1" applyFont="1" applyFill="1" applyBorder="1" applyAlignment="1">
      <alignment horizontal="center" vertical="center" wrapText="1"/>
    </xf>
    <xf numFmtId="43" fontId="3" fillId="0" borderId="34" xfId="1" applyFont="1" applyFill="1" applyBorder="1" applyAlignment="1">
      <alignment horizontal="center" vertical="center" wrapText="1"/>
    </xf>
    <xf numFmtId="1" fontId="75" fillId="28" borderId="34" xfId="3032" applyNumberFormat="1" applyFont="1" applyFill="1" applyBorder="1" applyAlignment="1">
      <alignment horizontal="right" vertical="center" wrapText="1"/>
    </xf>
    <xf numFmtId="1" fontId="75" fillId="28" borderId="35" xfId="3032" applyNumberFormat="1" applyFont="1" applyFill="1" applyBorder="1" applyAlignment="1">
      <alignment horizontal="center" vertical="center" wrapText="1"/>
    </xf>
    <xf numFmtId="2" fontId="75" fillId="28" borderId="32" xfId="3032" applyNumberFormat="1" applyFont="1" applyFill="1" applyBorder="1" applyAlignment="1">
      <alignment horizontal="left" vertical="center" wrapText="1"/>
    </xf>
    <xf numFmtId="174" fontId="3" fillId="28" borderId="30" xfId="1" applyNumberFormat="1" applyFont="1" applyFill="1" applyBorder="1" applyAlignment="1">
      <alignment horizontal="center" vertical="distributed" wrapText="1"/>
    </xf>
    <xf numFmtId="0" fontId="28" fillId="28" borderId="13" xfId="3032" applyFont="1" applyFill="1" applyBorder="1" applyAlignment="1">
      <alignment horizontal="center" vertical="top" wrapText="1"/>
    </xf>
    <xf numFmtId="192" fontId="3" fillId="28" borderId="33" xfId="3032" applyNumberFormat="1" applyFont="1" applyFill="1" applyBorder="1" applyAlignment="1">
      <alignment horizontal="center" vertical="center" wrapText="1"/>
    </xf>
    <xf numFmtId="0" fontId="64" fillId="28" borderId="0" xfId="3032" applyFont="1" applyFill="1" applyAlignment="1">
      <alignment horizontal="left"/>
    </xf>
    <xf numFmtId="0" fontId="66" fillId="28" borderId="0" xfId="430" applyFont="1" applyFill="1" applyAlignment="1">
      <alignment vertical="center"/>
    </xf>
    <xf numFmtId="0" fontId="67" fillId="28" borderId="51" xfId="3032" applyFont="1" applyFill="1" applyBorder="1" applyAlignment="1">
      <alignment horizontal="left" vertical="center"/>
    </xf>
    <xf numFmtId="0" fontId="67" fillId="28" borderId="51" xfId="3032" applyFont="1" applyFill="1" applyBorder="1" applyAlignment="1">
      <alignment vertical="center"/>
    </xf>
    <xf numFmtId="0" fontId="67" fillId="28" borderId="52" xfId="3032" applyFont="1" applyFill="1" applyBorder="1" applyAlignment="1">
      <alignment vertical="center"/>
    </xf>
    <xf numFmtId="0" fontId="67" fillId="28" borderId="0" xfId="3032" applyFont="1" applyFill="1" applyAlignment="1">
      <alignment horizontal="left" vertical="center"/>
    </xf>
    <xf numFmtId="0" fontId="28" fillId="28" borderId="48" xfId="0" applyFont="1" applyFill="1" applyBorder="1" applyAlignment="1">
      <alignment vertical="center" wrapText="1"/>
    </xf>
    <xf numFmtId="0" fontId="4" fillId="0" borderId="7" xfId="3032" applyBorder="1"/>
    <xf numFmtId="0" fontId="28" fillId="0" borderId="0" xfId="430" applyFont="1" applyAlignment="1">
      <alignment horizontal="left" vertical="center"/>
    </xf>
    <xf numFmtId="0" fontId="3" fillId="28" borderId="48" xfId="3032" applyFont="1" applyFill="1" applyBorder="1" applyAlignment="1">
      <alignment wrapText="1"/>
    </xf>
    <xf numFmtId="0" fontId="3" fillId="28" borderId="27" xfId="3032" applyFont="1" applyFill="1" applyBorder="1" applyAlignment="1">
      <alignment wrapText="1"/>
    </xf>
    <xf numFmtId="169" fontId="76" fillId="29" borderId="14" xfId="3032" applyNumberFormat="1" applyFont="1" applyFill="1" applyBorder="1" applyAlignment="1">
      <alignment horizontal="center" vertical="center" wrapText="1"/>
    </xf>
    <xf numFmtId="174" fontId="76" fillId="29" borderId="14" xfId="1" applyNumberFormat="1" applyFont="1" applyFill="1" applyBorder="1" applyAlignment="1">
      <alignment vertical="center" wrapText="1"/>
    </xf>
    <xf numFmtId="1" fontId="28" fillId="28" borderId="8" xfId="0" applyNumberFormat="1" applyFont="1" applyFill="1" applyBorder="1" applyAlignment="1">
      <alignment vertical="center" wrapText="1"/>
    </xf>
    <xf numFmtId="0" fontId="3" fillId="28" borderId="7" xfId="3032" applyFont="1" applyFill="1" applyBorder="1" applyAlignment="1">
      <alignment wrapText="1"/>
    </xf>
    <xf numFmtId="0" fontId="3" fillId="28" borderId="0" xfId="3032" applyFont="1" applyFill="1" applyAlignment="1">
      <alignment wrapText="1"/>
    </xf>
    <xf numFmtId="169" fontId="28" fillId="29" borderId="14" xfId="3032" applyNumberFormat="1" applyFont="1" applyFill="1" applyBorder="1" applyAlignment="1">
      <alignment horizontal="center" vertical="center" wrapText="1"/>
    </xf>
    <xf numFmtId="174" fontId="28" fillId="29" borderId="14" xfId="1" applyNumberFormat="1" applyFont="1" applyFill="1" applyBorder="1" applyAlignment="1">
      <alignment vertical="center" wrapText="1"/>
    </xf>
    <xf numFmtId="1" fontId="28" fillId="28" borderId="6" xfId="0" applyNumberFormat="1" applyFont="1" applyFill="1" applyBorder="1" applyAlignment="1">
      <alignment vertical="center" wrapText="1"/>
    </xf>
    <xf numFmtId="169" fontId="28" fillId="29" borderId="48" xfId="3032" applyNumberFormat="1" applyFont="1" applyFill="1" applyBorder="1" applyAlignment="1">
      <alignment horizontal="center" vertical="center" wrapText="1"/>
    </xf>
    <xf numFmtId="174" fontId="28" fillId="29" borderId="13" xfId="1" applyNumberFormat="1" applyFont="1" applyFill="1" applyBorder="1" applyAlignment="1">
      <alignment vertical="center" wrapText="1"/>
    </xf>
    <xf numFmtId="2" fontId="28" fillId="29" borderId="48" xfId="3032" applyNumberFormat="1" applyFont="1" applyFill="1" applyBorder="1" applyAlignment="1">
      <alignment horizontal="left" vertical="distributed" wrapText="1"/>
    </xf>
    <xf numFmtId="0" fontId="28" fillId="28" borderId="0" xfId="0" applyFont="1" applyFill="1" applyAlignment="1">
      <alignment vertical="center" wrapText="1"/>
    </xf>
    <xf numFmtId="2" fontId="64" fillId="28" borderId="0" xfId="3032" applyNumberFormat="1" applyFont="1" applyFill="1"/>
    <xf numFmtId="0" fontId="75" fillId="28" borderId="37" xfId="3032" applyFont="1" applyFill="1" applyBorder="1" applyAlignment="1">
      <alignment horizontal="center" vertical="distributed" wrapText="1"/>
    </xf>
    <xf numFmtId="2" fontId="75" fillId="28" borderId="37" xfId="3032" applyNumberFormat="1" applyFont="1" applyFill="1" applyBorder="1" applyAlignment="1">
      <alignment horizontal="center" vertical="distributed" wrapText="1"/>
    </xf>
    <xf numFmtId="169" fontId="75" fillId="28" borderId="36" xfId="3032" applyNumberFormat="1" applyFont="1" applyFill="1" applyBorder="1" applyAlignment="1">
      <alignment horizontal="center" vertical="distributed" wrapText="1"/>
    </xf>
    <xf numFmtId="174" fontId="75" fillId="28" borderId="36" xfId="1" applyNumberFormat="1" applyFont="1" applyFill="1" applyBorder="1" applyAlignment="1">
      <alignment horizontal="center" vertical="distributed" wrapText="1"/>
    </xf>
    <xf numFmtId="43" fontId="75" fillId="28" borderId="37" xfId="1" applyFont="1" applyFill="1" applyBorder="1" applyAlignment="1">
      <alignment horizontal="center" vertical="center" wrapText="1"/>
    </xf>
    <xf numFmtId="43" fontId="75" fillId="28" borderId="38" xfId="1" applyFont="1" applyFill="1" applyBorder="1" applyAlignment="1">
      <alignment horizontal="center" vertical="distributed" wrapText="1"/>
    </xf>
    <xf numFmtId="43" fontId="75" fillId="28" borderId="36" xfId="1" applyFont="1" applyFill="1" applyBorder="1" applyAlignment="1">
      <alignment horizontal="center" vertical="center" wrapText="1"/>
    </xf>
    <xf numFmtId="43" fontId="75" fillId="28" borderId="38" xfId="1" applyFont="1" applyFill="1" applyBorder="1" applyAlignment="1">
      <alignment horizontal="center" vertical="center" wrapText="1"/>
    </xf>
    <xf numFmtId="0" fontId="75" fillId="28" borderId="37" xfId="3032" applyFont="1" applyFill="1" applyBorder="1" applyAlignment="1">
      <alignment horizontal="center" vertical="center" wrapText="1"/>
    </xf>
    <xf numFmtId="2" fontId="75" fillId="28" borderId="36" xfId="3032" applyNumberFormat="1" applyFont="1" applyFill="1" applyBorder="1" applyAlignment="1">
      <alignment horizontal="left" vertical="center" wrapText="1"/>
    </xf>
    <xf numFmtId="1" fontId="75" fillId="28" borderId="44" xfId="3032" applyNumberFormat="1" applyFont="1" applyFill="1" applyBorder="1" applyAlignment="1">
      <alignment horizontal="center" vertical="center" wrapText="1"/>
    </xf>
    <xf numFmtId="1" fontId="75" fillId="28" borderId="38" xfId="3032" applyNumberFormat="1" applyFont="1" applyFill="1" applyBorder="1" applyAlignment="1">
      <alignment horizontal="right" vertical="center" wrapText="1"/>
    </xf>
    <xf numFmtId="0" fontId="75" fillId="28" borderId="37" xfId="283" applyFont="1" applyFill="1" applyBorder="1" applyAlignment="1">
      <alignment horizontal="left" vertical="center" wrapText="1"/>
    </xf>
    <xf numFmtId="1" fontId="75" fillId="28" borderId="37" xfId="3032" applyNumberFormat="1" applyFont="1" applyFill="1" applyBorder="1" applyAlignment="1">
      <alignment horizontal="center" vertical="center" wrapText="1"/>
    </xf>
    <xf numFmtId="0" fontId="64" fillId="28" borderId="0" xfId="3032" applyFont="1" applyFill="1" applyAlignment="1">
      <alignment horizontal="center" vertical="center"/>
    </xf>
    <xf numFmtId="0" fontId="75" fillId="28" borderId="33" xfId="3032" applyFont="1" applyFill="1" applyBorder="1" applyAlignment="1">
      <alignment horizontal="center" vertical="distributed" wrapText="1"/>
    </xf>
    <xf numFmtId="2" fontId="75" fillId="28" borderId="33" xfId="3032" applyNumberFormat="1" applyFont="1" applyFill="1" applyBorder="1" applyAlignment="1">
      <alignment horizontal="center" vertical="distributed" wrapText="1"/>
    </xf>
    <xf numFmtId="169" fontId="75" fillId="28" borderId="32" xfId="3032" applyNumberFormat="1" applyFont="1" applyFill="1" applyBorder="1" applyAlignment="1">
      <alignment horizontal="center" vertical="distributed" wrapText="1"/>
    </xf>
    <xf numFmtId="174" fontId="75" fillId="28" borderId="32" xfId="1" applyNumberFormat="1" applyFont="1" applyFill="1" applyBorder="1" applyAlignment="1">
      <alignment horizontal="center" vertical="distributed" wrapText="1"/>
    </xf>
    <xf numFmtId="43" fontId="75" fillId="28" borderId="33" xfId="1" applyFont="1" applyFill="1" applyBorder="1" applyAlignment="1">
      <alignment horizontal="center" vertical="center" wrapText="1"/>
    </xf>
    <xf numFmtId="43" fontId="75" fillId="28" borderId="34" xfId="1" applyFont="1" applyFill="1" applyBorder="1" applyAlignment="1">
      <alignment horizontal="center" vertical="distributed" wrapText="1"/>
    </xf>
    <xf numFmtId="43" fontId="75" fillId="28" borderId="32" xfId="1" applyFont="1" applyFill="1" applyBorder="1" applyAlignment="1">
      <alignment horizontal="center" vertical="center" wrapText="1"/>
    </xf>
    <xf numFmtId="43" fontId="75" fillId="28" borderId="34" xfId="1" applyFont="1" applyFill="1" applyBorder="1" applyAlignment="1">
      <alignment horizontal="center" vertical="center" wrapText="1"/>
    </xf>
    <xf numFmtId="0" fontId="75" fillId="28" borderId="33" xfId="3032" applyFont="1" applyFill="1" applyBorder="1" applyAlignment="1">
      <alignment horizontal="center" vertical="center" wrapText="1"/>
    </xf>
    <xf numFmtId="1" fontId="75" fillId="28" borderId="33" xfId="3032" applyNumberFormat="1" applyFont="1" applyFill="1" applyBorder="1" applyAlignment="1">
      <alignment horizontal="center" vertical="center" wrapText="1"/>
    </xf>
    <xf numFmtId="192" fontId="75" fillId="28" borderId="33" xfId="3032" applyNumberFormat="1" applyFont="1" applyFill="1" applyBorder="1" applyAlignment="1">
      <alignment horizontal="center" vertical="distributed" wrapText="1"/>
    </xf>
    <xf numFmtId="192" fontId="3" fillId="28" borderId="33" xfId="3032" applyNumberFormat="1" applyFont="1" applyFill="1" applyBorder="1" applyAlignment="1">
      <alignment horizontal="center" vertical="distributed" wrapText="1"/>
    </xf>
    <xf numFmtId="1" fontId="3" fillId="28" borderId="35" xfId="3032" applyNumberFormat="1" applyFont="1" applyFill="1" applyBorder="1" applyAlignment="1">
      <alignment vertical="center" wrapText="1"/>
    </xf>
    <xf numFmtId="1" fontId="28" fillId="26" borderId="14" xfId="3032" applyNumberFormat="1" applyFont="1" applyFill="1" applyBorder="1" applyAlignment="1">
      <alignment horizontal="center" vertical="center" wrapText="1"/>
    </xf>
    <xf numFmtId="0" fontId="66" fillId="28" borderId="7" xfId="430" applyFont="1" applyFill="1" applyBorder="1" applyAlignment="1">
      <alignment vertical="center"/>
    </xf>
    <xf numFmtId="0" fontId="67" fillId="28" borderId="0" xfId="3032" applyFont="1" applyFill="1" applyAlignment="1">
      <alignment vertical="center"/>
    </xf>
    <xf numFmtId="0" fontId="66" fillId="28" borderId="6" xfId="430" applyFont="1" applyFill="1" applyBorder="1" applyAlignment="1">
      <alignment vertical="center"/>
    </xf>
    <xf numFmtId="186" fontId="73" fillId="28" borderId="0" xfId="3032" applyNumberFormat="1" applyFont="1" applyFill="1" applyAlignment="1">
      <alignment horizontal="left" vertical="center" indent="1"/>
    </xf>
    <xf numFmtId="1" fontId="66" fillId="28" borderId="40" xfId="430" applyNumberFormat="1" applyFont="1" applyFill="1" applyBorder="1" applyAlignment="1">
      <alignment horizontal="left" vertical="center"/>
    </xf>
    <xf numFmtId="0" fontId="67" fillId="28" borderId="0" xfId="3032" applyFont="1" applyFill="1" applyAlignment="1">
      <alignment horizontal="left" vertical="center" indent="1"/>
    </xf>
    <xf numFmtId="0" fontId="67" fillId="28" borderId="52" xfId="3032" applyFont="1" applyFill="1" applyBorder="1" applyAlignment="1">
      <alignment horizontal="left" vertical="center"/>
    </xf>
    <xf numFmtId="0" fontId="66" fillId="28" borderId="3" xfId="430" applyFont="1" applyFill="1" applyBorder="1" applyAlignment="1">
      <alignment vertical="center"/>
    </xf>
    <xf numFmtId="1" fontId="66" fillId="28" borderId="40" xfId="3032" applyNumberFormat="1" applyFont="1" applyFill="1" applyBorder="1" applyAlignment="1">
      <alignment horizontal="left" vertical="center"/>
    </xf>
    <xf numFmtId="2" fontId="75" fillId="28" borderId="32" xfId="3032" applyNumberFormat="1" applyFont="1" applyFill="1" applyBorder="1" applyAlignment="1">
      <alignment horizontal="center" wrapText="1"/>
    </xf>
    <xf numFmtId="0" fontId="75" fillId="28" borderId="33" xfId="3032" applyFont="1" applyFill="1" applyBorder="1" applyAlignment="1">
      <alignment horizontal="center" wrapText="1"/>
    </xf>
    <xf numFmtId="2" fontId="75" fillId="28" borderId="32" xfId="3032" applyNumberFormat="1" applyFont="1" applyFill="1" applyBorder="1" applyAlignment="1">
      <alignment horizontal="center" vertical="center" wrapText="1"/>
    </xf>
    <xf numFmtId="1" fontId="75" fillId="28" borderId="34" xfId="3032" applyNumberFormat="1" applyFont="1" applyFill="1" applyBorder="1" applyAlignment="1">
      <alignment horizontal="center" vertical="center" wrapText="1"/>
    </xf>
    <xf numFmtId="1" fontId="75" fillId="28" borderId="47" xfId="3032" applyNumberFormat="1" applyFont="1" applyFill="1" applyBorder="1" applyAlignment="1">
      <alignment horizontal="center" vertical="center" wrapText="1"/>
    </xf>
    <xf numFmtId="0" fontId="3" fillId="28" borderId="37" xfId="3032" applyFont="1" applyFill="1" applyBorder="1" applyAlignment="1">
      <alignment horizontal="left" vertical="distributed" wrapText="1"/>
    </xf>
    <xf numFmtId="192" fontId="3" fillId="28" borderId="37" xfId="3032" applyNumberFormat="1" applyFont="1" applyFill="1" applyBorder="1" applyAlignment="1">
      <alignment horizontal="center" vertical="distributed" wrapText="1"/>
    </xf>
    <xf numFmtId="2" fontId="3" fillId="28" borderId="36" xfId="3032" applyNumberFormat="1" applyFont="1" applyFill="1" applyBorder="1" applyAlignment="1">
      <alignment horizontal="center" vertical="center" wrapText="1"/>
    </xf>
    <xf numFmtId="1" fontId="3" fillId="28" borderId="38" xfId="3032" applyNumberFormat="1" applyFont="1" applyFill="1" applyBorder="1" applyAlignment="1">
      <alignment horizontal="center" vertical="center" wrapText="1"/>
    </xf>
    <xf numFmtId="43" fontId="3" fillId="28" borderId="53" xfId="1" applyFont="1" applyFill="1" applyBorder="1" applyAlignment="1">
      <alignment horizontal="center" vertical="center" wrapText="1"/>
    </xf>
    <xf numFmtId="0" fontId="3" fillId="28" borderId="53" xfId="3032" applyFont="1" applyFill="1" applyBorder="1" applyAlignment="1">
      <alignment horizontal="center" vertical="center" wrapText="1"/>
    </xf>
    <xf numFmtId="2" fontId="3" fillId="28" borderId="42" xfId="3032" applyNumberFormat="1" applyFont="1" applyFill="1" applyBorder="1" applyAlignment="1">
      <alignment horizontal="center" vertical="center" wrapText="1"/>
    </xf>
    <xf numFmtId="1" fontId="3" fillId="28" borderId="41" xfId="3032" applyNumberFormat="1" applyFont="1" applyFill="1" applyBorder="1" applyAlignment="1">
      <alignment horizontal="center" vertical="center" wrapText="1"/>
    </xf>
    <xf numFmtId="1" fontId="3" fillId="28" borderId="43" xfId="3032" applyNumberFormat="1" applyFont="1" applyFill="1" applyBorder="1" applyAlignment="1">
      <alignment horizontal="center" vertical="center" wrapText="1"/>
    </xf>
    <xf numFmtId="0" fontId="3" fillId="28" borderId="53" xfId="3032" applyFont="1" applyFill="1" applyBorder="1" applyAlignment="1">
      <alignment horizontal="left" vertical="distributed" wrapText="1"/>
    </xf>
    <xf numFmtId="174" fontId="3" fillId="28" borderId="33" xfId="1" applyNumberFormat="1" applyFont="1" applyFill="1" applyBorder="1" applyAlignment="1">
      <alignment horizontal="center" vertical="distributed" wrapText="1"/>
    </xf>
    <xf numFmtId="0" fontId="3" fillId="28" borderId="30" xfId="3032" applyFont="1" applyFill="1" applyBorder="1" applyAlignment="1">
      <alignment horizontal="left" vertical="distributed" wrapText="1"/>
    </xf>
    <xf numFmtId="192" fontId="3" fillId="28" borderId="30" xfId="3032" applyNumberFormat="1" applyFont="1" applyFill="1" applyBorder="1" applyAlignment="1">
      <alignment horizontal="center" vertical="distributed" wrapText="1"/>
    </xf>
    <xf numFmtId="43" fontId="3" fillId="28" borderId="30" xfId="1" applyFont="1" applyFill="1" applyBorder="1" applyAlignment="1">
      <alignment horizontal="center" vertical="center" wrapText="1"/>
    </xf>
    <xf numFmtId="0" fontId="3" fillId="28" borderId="30" xfId="3032" applyFont="1" applyFill="1" applyBorder="1" applyAlignment="1">
      <alignment horizontal="center" vertical="center" wrapText="1"/>
    </xf>
    <xf numFmtId="2" fontId="3" fillId="28" borderId="29" xfId="3032" applyNumberFormat="1" applyFont="1" applyFill="1" applyBorder="1" applyAlignment="1">
      <alignment horizontal="center" vertical="center" wrapText="1"/>
    </xf>
    <xf numFmtId="1" fontId="3" fillId="28" borderId="39" xfId="3032" applyNumberFormat="1" applyFont="1" applyFill="1" applyBorder="1" applyAlignment="1">
      <alignment horizontal="center" vertical="center" wrapText="1"/>
    </xf>
    <xf numFmtId="1" fontId="3" fillId="28" borderId="31" xfId="3032" applyNumberFormat="1" applyFont="1" applyFill="1" applyBorder="1" applyAlignment="1">
      <alignment horizontal="center" vertical="center" wrapText="1"/>
    </xf>
    <xf numFmtId="0" fontId="3" fillId="28" borderId="30" xfId="283" applyFont="1" applyFill="1" applyBorder="1" applyAlignment="1">
      <alignment horizontal="left" vertical="center" wrapText="1"/>
    </xf>
    <xf numFmtId="1" fontId="75" fillId="28" borderId="30" xfId="3032" applyNumberFormat="1" applyFont="1" applyFill="1" applyBorder="1" applyAlignment="1">
      <alignment horizontal="center" vertical="center" wrapText="1"/>
    </xf>
    <xf numFmtId="169" fontId="3" fillId="28" borderId="29" xfId="3032" applyNumberFormat="1" applyFont="1" applyFill="1" applyBorder="1" applyAlignment="1">
      <alignment horizontal="center" vertical="distributed" wrapText="1"/>
    </xf>
    <xf numFmtId="174" fontId="3" fillId="28" borderId="29" xfId="1" applyNumberFormat="1" applyFont="1" applyFill="1" applyBorder="1" applyAlignment="1">
      <alignment horizontal="center" vertical="distributed" wrapText="1"/>
    </xf>
    <xf numFmtId="43" fontId="3" fillId="28" borderId="33" xfId="1" applyFont="1" applyFill="1" applyBorder="1" applyAlignment="1">
      <alignment horizontal="center" vertical="distributed" wrapText="1"/>
    </xf>
    <xf numFmtId="0" fontId="3" fillId="0" borderId="53" xfId="3032" applyFont="1" applyBorder="1" applyAlignment="1">
      <alignment horizontal="left" vertical="distributed" wrapText="1"/>
    </xf>
    <xf numFmtId="43" fontId="3" fillId="28" borderId="31" xfId="1" applyFont="1" applyFill="1" applyBorder="1" applyAlignment="1">
      <alignment horizontal="center" vertical="distributed" wrapText="1"/>
    </xf>
    <xf numFmtId="174" fontId="28" fillId="28" borderId="33" xfId="1" applyNumberFormat="1" applyFont="1" applyFill="1" applyBorder="1" applyAlignment="1">
      <alignment horizontal="center" vertical="center" wrapText="1"/>
    </xf>
    <xf numFmtId="174" fontId="28" fillId="28" borderId="32" xfId="1" applyNumberFormat="1" applyFont="1" applyFill="1" applyBorder="1" applyAlignment="1">
      <alignment horizontal="center" vertical="distributed" wrapText="1"/>
    </xf>
    <xf numFmtId="174" fontId="28" fillId="28" borderId="33" xfId="1" applyNumberFormat="1" applyFont="1" applyFill="1" applyBorder="1" applyAlignment="1">
      <alignment horizontal="center" vertical="distributed" wrapText="1"/>
    </xf>
    <xf numFmtId="0" fontId="64" fillId="32" borderId="0" xfId="3032" applyFont="1" applyFill="1" applyAlignment="1">
      <alignment horizontal="left"/>
    </xf>
    <xf numFmtId="187" fontId="64" fillId="32" borderId="0" xfId="3032" applyNumberFormat="1" applyFont="1" applyFill="1" applyAlignment="1">
      <alignment horizontal="center"/>
    </xf>
    <xf numFmtId="0" fontId="4" fillId="28" borderId="35" xfId="3032" applyFill="1" applyBorder="1"/>
    <xf numFmtId="174" fontId="3" fillId="28" borderId="31" xfId="1" applyNumberFormat="1" applyFont="1" applyFill="1" applyBorder="1" applyAlignment="1">
      <alignment horizontal="center" vertical="distributed" wrapText="1"/>
    </xf>
    <xf numFmtId="43" fontId="3" fillId="0" borderId="31" xfId="1" applyFont="1" applyBorder="1" applyAlignment="1">
      <alignment horizontal="center" vertical="distributed" wrapText="1"/>
    </xf>
    <xf numFmtId="43" fontId="3" fillId="0" borderId="29" xfId="1" applyFont="1" applyBorder="1" applyAlignment="1">
      <alignment horizontal="center" vertical="center" wrapText="1"/>
    </xf>
    <xf numFmtId="0" fontId="28" fillId="28" borderId="11" xfId="3032" applyFont="1" applyFill="1" applyBorder="1" applyAlignment="1">
      <alignment horizontal="center" wrapText="1"/>
    </xf>
    <xf numFmtId="43" fontId="74" fillId="0" borderId="33" xfId="1" applyFont="1" applyFill="1" applyBorder="1" applyAlignment="1">
      <alignment horizontal="center" vertical="center" wrapText="1"/>
    </xf>
    <xf numFmtId="192" fontId="3" fillId="0" borderId="33" xfId="3032" applyNumberFormat="1" applyFont="1" applyBorder="1" applyAlignment="1">
      <alignment horizontal="center" vertical="distributed" wrapText="1"/>
    </xf>
    <xf numFmtId="0" fontId="28" fillId="29" borderId="50" xfId="3032" applyFont="1" applyFill="1" applyBorder="1" applyAlignment="1">
      <alignment vertical="distributed" wrapText="1"/>
    </xf>
    <xf numFmtId="0" fontId="28" fillId="29" borderId="49" xfId="3032" applyFont="1" applyFill="1" applyBorder="1" applyAlignment="1">
      <alignment vertical="distributed" wrapText="1"/>
    </xf>
    <xf numFmtId="1" fontId="28" fillId="29" borderId="14" xfId="3032" applyNumberFormat="1" applyFont="1" applyFill="1" applyBorder="1" applyAlignment="1">
      <alignment horizontal="center" vertical="center" wrapText="1"/>
    </xf>
    <xf numFmtId="169" fontId="76" fillId="29" borderId="13" xfId="3032" applyNumberFormat="1" applyFont="1" applyFill="1" applyBorder="1" applyAlignment="1">
      <alignment horizontal="center" vertical="center" wrapText="1"/>
    </xf>
    <xf numFmtId="174" fontId="76" fillId="29" borderId="13" xfId="1" applyNumberFormat="1" applyFont="1" applyFill="1" applyBorder="1" applyAlignment="1">
      <alignment vertical="center" wrapText="1"/>
    </xf>
    <xf numFmtId="0" fontId="66" fillId="28" borderId="5" xfId="430" applyFont="1" applyFill="1" applyBorder="1" applyAlignment="1">
      <alignment vertical="center"/>
    </xf>
    <xf numFmtId="0" fontId="66" fillId="28" borderId="48" xfId="430" applyFont="1" applyFill="1" applyBorder="1" applyAlignment="1">
      <alignment vertical="center"/>
    </xf>
    <xf numFmtId="0" fontId="66" fillId="28" borderId="27" xfId="430" applyFont="1" applyFill="1" applyBorder="1" applyAlignment="1">
      <alignment vertical="center"/>
    </xf>
    <xf numFmtId="2" fontId="3" fillId="28" borderId="32" xfId="3032" applyNumberFormat="1" applyFont="1" applyFill="1" applyBorder="1" applyAlignment="1">
      <alignment horizontal="center" wrapText="1"/>
    </xf>
    <xf numFmtId="174" fontId="3" fillId="0" borderId="34" xfId="1" applyNumberFormat="1" applyFont="1" applyFill="1" applyBorder="1" applyAlignment="1">
      <alignment horizontal="center" vertical="distributed" wrapText="1"/>
    </xf>
    <xf numFmtId="0" fontId="67" fillId="28" borderId="7" xfId="3032" applyFont="1" applyFill="1" applyBorder="1" applyAlignment="1">
      <alignment horizontal="left" vertical="center"/>
    </xf>
    <xf numFmtId="186" fontId="73" fillId="0" borderId="0" xfId="3032" applyNumberFormat="1" applyFont="1" applyAlignment="1">
      <alignment horizontal="left" vertical="center" indent="1"/>
    </xf>
    <xf numFmtId="0" fontId="28" fillId="26" borderId="55" xfId="3032" applyFont="1" applyFill="1" applyBorder="1" applyAlignment="1">
      <alignment vertical="distributed" wrapText="1"/>
    </xf>
    <xf numFmtId="0" fontId="28" fillId="26" borderId="56" xfId="3032" applyFont="1" applyFill="1" applyBorder="1" applyAlignment="1">
      <alignment vertical="distributed" wrapText="1"/>
    </xf>
    <xf numFmtId="43" fontId="3" fillId="28" borderId="32" xfId="1" applyFont="1" applyFill="1" applyBorder="1" applyAlignment="1">
      <alignment horizontal="center" vertical="distributed" wrapText="1"/>
    </xf>
    <xf numFmtId="0" fontId="64" fillId="28" borderId="33" xfId="3032" applyFont="1" applyFill="1" applyBorder="1"/>
    <xf numFmtId="43" fontId="3" fillId="28" borderId="35" xfId="1" applyFont="1" applyFill="1" applyBorder="1" applyAlignment="1">
      <alignment horizontal="center" vertical="center" wrapText="1"/>
    </xf>
    <xf numFmtId="0" fontId="75" fillId="28" borderId="33" xfId="3032" applyFont="1" applyFill="1" applyBorder="1" applyAlignment="1">
      <alignment horizontal="left" vertical="distributed" wrapText="1"/>
    </xf>
    <xf numFmtId="1" fontId="28" fillId="28" borderId="54" xfId="0" applyNumberFormat="1" applyFont="1" applyFill="1" applyBorder="1" applyAlignment="1">
      <alignment vertical="center" wrapText="1"/>
    </xf>
    <xf numFmtId="0" fontId="66" fillId="28" borderId="58" xfId="430" applyFont="1" applyFill="1" applyBorder="1" applyAlignment="1">
      <alignment vertical="center"/>
    </xf>
    <xf numFmtId="43" fontId="75" fillId="0" borderId="33" xfId="1" applyFont="1" applyFill="1" applyBorder="1" applyAlignment="1">
      <alignment horizontal="center" vertical="center" wrapText="1"/>
    </xf>
    <xf numFmtId="43" fontId="3" fillId="28" borderId="30" xfId="1" applyFont="1" applyFill="1" applyBorder="1" applyAlignment="1">
      <alignment horizontal="center" vertical="distributed" wrapText="1"/>
    </xf>
    <xf numFmtId="43" fontId="3" fillId="0" borderId="33" xfId="3039" applyFont="1" applyFill="1" applyBorder="1" applyAlignment="1">
      <alignment horizontal="center" vertical="center" wrapText="1"/>
    </xf>
    <xf numFmtId="43" fontId="3" fillId="28" borderId="33" xfId="3039" applyFont="1" applyFill="1" applyBorder="1" applyAlignment="1">
      <alignment horizontal="center" vertical="center" wrapText="1"/>
    </xf>
    <xf numFmtId="43" fontId="3" fillId="28" borderId="32" xfId="3039" applyFont="1" applyFill="1" applyBorder="1" applyAlignment="1">
      <alignment horizontal="center" vertical="center" wrapText="1"/>
    </xf>
    <xf numFmtId="43" fontId="3" fillId="28" borderId="34" xfId="3039" applyFont="1" applyFill="1" applyBorder="1" applyAlignment="1">
      <alignment horizontal="center" vertical="distributed" wrapText="1"/>
    </xf>
    <xf numFmtId="174" fontId="3" fillId="28" borderId="32" xfId="3039" applyNumberFormat="1" applyFont="1" applyFill="1" applyBorder="1" applyAlignment="1">
      <alignment horizontal="center" vertical="distributed" wrapText="1"/>
    </xf>
    <xf numFmtId="0" fontId="64" fillId="28" borderId="30" xfId="3032" applyFont="1" applyFill="1" applyBorder="1"/>
    <xf numFmtId="186" fontId="73" fillId="0" borderId="54" xfId="3032" applyNumberFormat="1" applyFont="1" applyBorder="1" applyAlignment="1">
      <alignment horizontal="left" vertical="center" indent="1"/>
    </xf>
    <xf numFmtId="43" fontId="75" fillId="0" borderId="34" xfId="1" applyFont="1" applyFill="1" applyBorder="1" applyAlignment="1">
      <alignment horizontal="center" vertical="distributed" wrapText="1"/>
    </xf>
    <xf numFmtId="43" fontId="75" fillId="28" borderId="32" xfId="1" applyFont="1" applyFill="1" applyBorder="1" applyAlignment="1">
      <alignment horizontal="center" vertical="distributed" wrapText="1"/>
    </xf>
    <xf numFmtId="0" fontId="4" fillId="28" borderId="30" xfId="3032" applyFill="1" applyBorder="1"/>
    <xf numFmtId="0" fontId="4" fillId="28" borderId="33" xfId="3032" applyFill="1" applyBorder="1"/>
    <xf numFmtId="0" fontId="77" fillId="28" borderId="0" xfId="3032" applyFont="1" applyFill="1" applyAlignment="1">
      <alignment horizontal="center" vertical="center"/>
    </xf>
    <xf numFmtId="1" fontId="78" fillId="28" borderId="33" xfId="3032" applyNumberFormat="1" applyFont="1" applyFill="1" applyBorder="1" applyAlignment="1">
      <alignment horizontal="center" vertical="center" wrapText="1"/>
    </xf>
    <xf numFmtId="0" fontId="77" fillId="28" borderId="0" xfId="3032" applyFont="1" applyFill="1" applyAlignment="1">
      <alignment horizontal="center"/>
    </xf>
    <xf numFmtId="1" fontId="77" fillId="28" borderId="0" xfId="3032" applyNumberFormat="1" applyFont="1" applyFill="1" applyAlignment="1">
      <alignment horizontal="center"/>
    </xf>
    <xf numFmtId="0" fontId="77" fillId="33" borderId="0" xfId="3032" applyFont="1" applyFill="1" applyAlignment="1">
      <alignment horizontal="center"/>
    </xf>
    <xf numFmtId="2" fontId="77" fillId="28" borderId="0" xfId="3032" applyNumberFormat="1" applyFont="1" applyFill="1"/>
    <xf numFmtId="0" fontId="77" fillId="28" borderId="0" xfId="3032" applyFont="1" applyFill="1"/>
    <xf numFmtId="0" fontId="64" fillId="28" borderId="31" xfId="3032" applyFont="1" applyFill="1" applyBorder="1"/>
    <xf numFmtId="0" fontId="64" fillId="28" borderId="34" xfId="3032" applyFont="1" applyFill="1" applyBorder="1"/>
    <xf numFmtId="169" fontId="28" fillId="29" borderId="13" xfId="3032" applyNumberFormat="1" applyFont="1" applyFill="1" applyBorder="1" applyAlignment="1">
      <alignment horizontal="center" vertical="center" wrapText="1"/>
    </xf>
    <xf numFmtId="0" fontId="3" fillId="25" borderId="61" xfId="3032" applyFont="1" applyFill="1" applyBorder="1"/>
    <xf numFmtId="0" fontId="67" fillId="28" borderId="4" xfId="3032" applyFont="1" applyFill="1" applyBorder="1" applyAlignment="1">
      <alignment vertical="center"/>
    </xf>
    <xf numFmtId="0" fontId="67" fillId="28" borderId="4" xfId="3032" applyFont="1" applyFill="1" applyBorder="1" applyAlignment="1">
      <alignment horizontal="left" vertical="center"/>
    </xf>
    <xf numFmtId="0" fontId="67" fillId="28" borderId="5" xfId="3032" applyFont="1" applyFill="1" applyBorder="1" applyAlignment="1">
      <alignment vertical="center"/>
    </xf>
    <xf numFmtId="0" fontId="28" fillId="26" borderId="60" xfId="3032" applyFont="1" applyFill="1" applyBorder="1" applyAlignment="1">
      <alignment vertical="distributed" wrapText="1"/>
    </xf>
    <xf numFmtId="0" fontId="28" fillId="26" borderId="61" xfId="3032" applyFont="1" applyFill="1" applyBorder="1" applyAlignment="1">
      <alignment vertical="distributed" wrapText="1"/>
    </xf>
    <xf numFmtId="1" fontId="3" fillId="28" borderId="33" xfId="3032" applyNumberFormat="1" applyFont="1" applyFill="1" applyBorder="1" applyAlignment="1">
      <alignment horizontal="left" vertical="center" wrapText="1"/>
    </xf>
    <xf numFmtId="0" fontId="28" fillId="26" borderId="51" xfId="3032" applyFont="1" applyFill="1" applyBorder="1" applyAlignment="1">
      <alignment vertical="distributed" wrapText="1"/>
    </xf>
    <xf numFmtId="43" fontId="75" fillId="28" borderId="36" xfId="1" applyFont="1" applyFill="1" applyBorder="1" applyAlignment="1">
      <alignment horizontal="center" vertical="distributed" wrapText="1"/>
    </xf>
    <xf numFmtId="1" fontId="30" fillId="28" borderId="6" xfId="0" applyNumberFormat="1" applyFont="1" applyFill="1" applyBorder="1" applyAlignment="1">
      <alignment vertical="center"/>
    </xf>
    <xf numFmtId="0" fontId="30" fillId="28" borderId="0" xfId="0" applyFont="1" applyFill="1" applyAlignment="1">
      <alignment vertical="center"/>
    </xf>
    <xf numFmtId="174" fontId="28" fillId="29" borderId="13" xfId="1" applyNumberFormat="1" applyFont="1" applyFill="1" applyBorder="1" applyAlignment="1">
      <alignment vertical="center"/>
    </xf>
    <xf numFmtId="169" fontId="28" fillId="29" borderId="48" xfId="3032" applyNumberFormat="1" applyFont="1" applyFill="1" applyBorder="1" applyAlignment="1">
      <alignment horizontal="center" vertical="center"/>
    </xf>
    <xf numFmtId="1" fontId="30" fillId="28" borderId="6" xfId="0" applyNumberFormat="1" applyFont="1" applyFill="1" applyBorder="1" applyAlignment="1">
      <alignment vertical="center" wrapText="1"/>
    </xf>
    <xf numFmtId="0" fontId="30" fillId="28" borderId="7" xfId="0" applyFont="1" applyFill="1" applyBorder="1" applyAlignment="1">
      <alignment vertical="center" wrapText="1"/>
    </xf>
    <xf numFmtId="169" fontId="28" fillId="29" borderId="14" xfId="3032" applyNumberFormat="1" applyFont="1" applyFill="1" applyBorder="1" applyAlignment="1">
      <alignment horizontal="center" vertical="center"/>
    </xf>
    <xf numFmtId="1" fontId="30" fillId="28" borderId="54" xfId="0" applyNumberFormat="1" applyFont="1" applyFill="1" applyBorder="1" applyAlignment="1">
      <alignment vertical="center" wrapText="1"/>
    </xf>
    <xf numFmtId="0" fontId="30" fillId="28" borderId="27" xfId="0" applyFont="1" applyFill="1" applyBorder="1" applyAlignment="1">
      <alignment vertical="center" wrapText="1"/>
    </xf>
    <xf numFmtId="174" fontId="76" fillId="29" borderId="14" xfId="1" applyNumberFormat="1" applyFont="1" applyFill="1" applyBorder="1" applyAlignment="1">
      <alignment vertical="center"/>
    </xf>
    <xf numFmtId="169" fontId="76" fillId="29" borderId="14" xfId="3032" applyNumberFormat="1" applyFont="1" applyFill="1" applyBorder="1" applyAlignment="1">
      <alignment horizontal="center" vertical="center"/>
    </xf>
    <xf numFmtId="1" fontId="75" fillId="28" borderId="35" xfId="3032" applyNumberFormat="1" applyFont="1" applyFill="1" applyBorder="1" applyAlignment="1">
      <alignment vertical="center" wrapText="1"/>
    </xf>
    <xf numFmtId="2" fontId="75" fillId="28" borderId="46" xfId="3032" applyNumberFormat="1" applyFont="1" applyFill="1" applyBorder="1" applyAlignment="1">
      <alignment horizontal="center" vertical="center" wrapText="1"/>
    </xf>
    <xf numFmtId="0" fontId="75" fillId="28" borderId="45" xfId="3032" applyFont="1" applyFill="1" applyBorder="1" applyAlignment="1">
      <alignment horizontal="center" vertical="center" wrapText="1"/>
    </xf>
    <xf numFmtId="43" fontId="75" fillId="28" borderId="47" xfId="1" applyFont="1" applyFill="1" applyBorder="1" applyAlignment="1">
      <alignment horizontal="center" vertical="center" wrapText="1"/>
    </xf>
    <xf numFmtId="192" fontId="75" fillId="28" borderId="33" xfId="3032" applyNumberFormat="1" applyFont="1" applyFill="1" applyBorder="1" applyAlignment="1">
      <alignment horizontal="center" vertical="center" wrapText="1"/>
    </xf>
    <xf numFmtId="14" fontId="47" fillId="0" borderId="0" xfId="0" applyNumberFormat="1" applyFont="1" applyAlignment="1">
      <alignment vertical="center"/>
    </xf>
    <xf numFmtId="0" fontId="6" fillId="0" borderId="31" xfId="3032" applyFont="1" applyBorder="1" applyAlignment="1">
      <alignment vertical="center"/>
    </xf>
    <xf numFmtId="0" fontId="6" fillId="0" borderId="30" xfId="3032" applyFont="1" applyBorder="1" applyAlignment="1">
      <alignment horizontal="center" vertical="center"/>
    </xf>
    <xf numFmtId="168" fontId="6" fillId="0" borderId="30" xfId="3032" applyNumberFormat="1" applyFont="1" applyBorder="1" applyAlignment="1">
      <alignment horizontal="center" vertical="center"/>
    </xf>
    <xf numFmtId="0" fontId="6" fillId="0" borderId="29" xfId="3032" applyFont="1" applyBorder="1" applyAlignment="1">
      <alignment horizontal="center" vertical="center"/>
    </xf>
    <xf numFmtId="14" fontId="6" fillId="0" borderId="38" xfId="0" applyNumberFormat="1" applyFont="1" applyBorder="1" applyAlignment="1">
      <alignment horizontal="center" vertical="center"/>
    </xf>
    <xf numFmtId="168" fontId="6" fillId="0" borderId="37" xfId="3032" applyNumberFormat="1" applyFont="1" applyBorder="1" applyAlignment="1">
      <alignment horizontal="center" vertical="center"/>
    </xf>
    <xf numFmtId="14" fontId="6" fillId="0" borderId="36" xfId="3032" applyNumberFormat="1" applyFont="1" applyBorder="1" applyAlignment="1">
      <alignment horizontal="center" vertical="center"/>
    </xf>
    <xf numFmtId="49" fontId="4" fillId="0" borderId="0" xfId="3032" applyNumberFormat="1" applyAlignment="1">
      <alignment horizontal="center" vertical="center"/>
    </xf>
    <xf numFmtId="0" fontId="71" fillId="0" borderId="0" xfId="3032" applyFont="1"/>
    <xf numFmtId="14" fontId="71" fillId="0" borderId="0" xfId="3032" applyNumberFormat="1" applyFont="1"/>
    <xf numFmtId="14" fontId="6" fillId="28" borderId="63" xfId="0" applyNumberFormat="1" applyFont="1" applyFill="1" applyBorder="1" applyAlignment="1">
      <alignment horizontal="center"/>
    </xf>
    <xf numFmtId="0" fontId="6" fillId="28" borderId="63" xfId="0" applyFont="1" applyFill="1" applyBorder="1" applyAlignment="1">
      <alignment horizontal="center"/>
    </xf>
    <xf numFmtId="0" fontId="71" fillId="0" borderId="0" xfId="0" applyFont="1"/>
    <xf numFmtId="4" fontId="6" fillId="28" borderId="63" xfId="0" applyNumberFormat="1" applyFont="1" applyFill="1" applyBorder="1" applyAlignment="1">
      <alignment horizontal="center"/>
    </xf>
    <xf numFmtId="189" fontId="6" fillId="28" borderId="66" xfId="0" applyNumberFormat="1" applyFont="1" applyFill="1" applyBorder="1" applyAlignment="1">
      <alignment horizontal="center"/>
    </xf>
    <xf numFmtId="4" fontId="6" fillId="28" borderId="66" xfId="0" applyNumberFormat="1" applyFont="1" applyFill="1" applyBorder="1" applyAlignment="1">
      <alignment horizontal="center"/>
    </xf>
    <xf numFmtId="10" fontId="6" fillId="28" borderId="65" xfId="0" applyNumberFormat="1" applyFont="1" applyFill="1" applyBorder="1" applyAlignment="1">
      <alignment horizontal="center"/>
    </xf>
    <xf numFmtId="0" fontId="6" fillId="0" borderId="63" xfId="0" applyFont="1" applyBorder="1" applyAlignment="1">
      <alignment horizontal="center"/>
    </xf>
    <xf numFmtId="10" fontId="71" fillId="0" borderId="0" xfId="236" applyNumberFormat="1" applyFont="1"/>
    <xf numFmtId="189" fontId="6" fillId="28" borderId="63" xfId="0" applyNumberFormat="1" applyFont="1" applyFill="1" applyBorder="1" applyAlignment="1">
      <alignment horizontal="center"/>
    </xf>
    <xf numFmtId="4" fontId="82" fillId="28" borderId="69" xfId="3032" applyNumberFormat="1" applyFont="1" applyFill="1" applyBorder="1" applyAlignment="1">
      <alignment horizontal="center" vertical="center"/>
    </xf>
    <xf numFmtId="10" fontId="82" fillId="28" borderId="71" xfId="3032" applyNumberFormat="1" applyFont="1" applyFill="1" applyBorder="1" applyAlignment="1">
      <alignment horizontal="center" vertical="center"/>
    </xf>
    <xf numFmtId="4" fontId="6" fillId="0" borderId="64" xfId="3032" applyNumberFormat="1" applyFont="1" applyBorder="1" applyAlignment="1">
      <alignment horizontal="center" vertical="center"/>
    </xf>
    <xf numFmtId="193" fontId="6" fillId="0" borderId="67" xfId="3032" applyNumberFormat="1" applyFont="1" applyBorder="1" applyAlignment="1">
      <alignment horizontal="center" vertical="center"/>
    </xf>
    <xf numFmtId="3" fontId="6" fillId="0" borderId="72" xfId="3032" applyNumberFormat="1" applyFont="1" applyBorder="1" applyAlignment="1">
      <alignment horizontal="center" vertical="center"/>
    </xf>
    <xf numFmtId="4" fontId="81" fillId="0" borderId="64" xfId="3032" applyNumberFormat="1" applyFont="1" applyBorder="1" applyAlignment="1">
      <alignment horizontal="center" vertical="center"/>
    </xf>
    <xf numFmtId="193" fontId="81" fillId="0" borderId="67" xfId="3032" applyNumberFormat="1" applyFont="1" applyBorder="1" applyAlignment="1">
      <alignment horizontal="center" vertical="center"/>
    </xf>
    <xf numFmtId="3" fontId="81" fillId="0" borderId="72" xfId="3032" applyNumberFormat="1" applyFont="1" applyBorder="1" applyAlignment="1">
      <alignment horizontal="center" vertical="center"/>
    </xf>
    <xf numFmtId="193" fontId="4" fillId="0" borderId="0" xfId="3032" applyNumberFormat="1"/>
    <xf numFmtId="194" fontId="4" fillId="0" borderId="0" xfId="3032" applyNumberFormat="1"/>
    <xf numFmtId="168" fontId="4" fillId="0" borderId="0" xfId="3032" applyNumberFormat="1"/>
    <xf numFmtId="0" fontId="4" fillId="28" borderId="14" xfId="439" applyFill="1" applyBorder="1"/>
    <xf numFmtId="0" fontId="4" fillId="28" borderId="9" xfId="3032" applyFill="1" applyBorder="1"/>
    <xf numFmtId="0" fontId="53" fillId="0" borderId="82" xfId="0" applyFont="1" applyBorder="1" applyAlignment="1">
      <alignment horizontal="center" vertical="center"/>
    </xf>
    <xf numFmtId="2" fontId="90" fillId="0" borderId="82" xfId="0" applyNumberFormat="1" applyFont="1" applyBorder="1" applyAlignment="1">
      <alignment vertical="center"/>
    </xf>
    <xf numFmtId="14" fontId="81" fillId="28" borderId="63" xfId="0" applyNumberFormat="1" applyFont="1" applyFill="1" applyBorder="1" applyAlignment="1">
      <alignment horizontal="center"/>
    </xf>
    <xf numFmtId="0" fontId="81" fillId="28" borderId="63" xfId="0" applyFont="1" applyFill="1" applyBorder="1" applyAlignment="1">
      <alignment horizontal="center"/>
    </xf>
    <xf numFmtId="4" fontId="81" fillId="28" borderId="63" xfId="0" applyNumberFormat="1" applyFont="1" applyFill="1" applyBorder="1" applyAlignment="1">
      <alignment horizontal="center"/>
    </xf>
    <xf numFmtId="189" fontId="81" fillId="28" borderId="63" xfId="0" applyNumberFormat="1" applyFont="1" applyFill="1" applyBorder="1" applyAlignment="1">
      <alignment horizontal="center"/>
    </xf>
    <xf numFmtId="4" fontId="81" fillId="28" borderId="66" xfId="0" applyNumberFormat="1" applyFont="1" applyFill="1" applyBorder="1" applyAlignment="1">
      <alignment horizontal="center"/>
    </xf>
    <xf numFmtId="10" fontId="81" fillId="28" borderId="65" xfId="0" applyNumberFormat="1" applyFont="1" applyFill="1" applyBorder="1" applyAlignment="1">
      <alignment horizontal="center"/>
    </xf>
    <xf numFmtId="0" fontId="47" fillId="0" borderId="0" xfId="0" applyFont="1" applyAlignment="1">
      <alignment horizontal="center" vertical="center"/>
    </xf>
    <xf numFmtId="0" fontId="27" fillId="0" borderId="0" xfId="160" applyFont="1" applyAlignment="1">
      <alignment vertical="top"/>
    </xf>
    <xf numFmtId="0" fontId="91" fillId="0" borderId="0" xfId="0" applyFont="1" applyAlignment="1">
      <alignment vertical="center"/>
    </xf>
    <xf numFmtId="0" fontId="4" fillId="28" borderId="75" xfId="3032" applyFill="1" applyBorder="1"/>
    <xf numFmtId="0" fontId="4" fillId="28" borderId="10" xfId="3032" applyFill="1" applyBorder="1"/>
    <xf numFmtId="0" fontId="4" fillId="28" borderId="0" xfId="439" applyFill="1"/>
    <xf numFmtId="0" fontId="65" fillId="28" borderId="0" xfId="439" applyFont="1" applyFill="1"/>
    <xf numFmtId="10" fontId="65" fillId="28" borderId="0" xfId="439" applyNumberFormat="1" applyFont="1" applyFill="1"/>
    <xf numFmtId="0" fontId="67" fillId="29" borderId="0" xfId="439" applyFont="1" applyFill="1"/>
    <xf numFmtId="44" fontId="65" fillId="28" borderId="0" xfId="439" applyNumberFormat="1" applyFont="1" applyFill="1"/>
    <xf numFmtId="0" fontId="96" fillId="0" borderId="0" xfId="439" applyFont="1"/>
    <xf numFmtId="0" fontId="3" fillId="28" borderId="0" xfId="439" applyFont="1" applyFill="1"/>
    <xf numFmtId="0" fontId="3" fillId="28" borderId="14" xfId="439" applyFont="1" applyFill="1" applyBorder="1"/>
    <xf numFmtId="43" fontId="97" fillId="28" borderId="14" xfId="3035" applyFont="1" applyFill="1" applyBorder="1" applyProtection="1">
      <protection locked="0"/>
    </xf>
    <xf numFmtId="43" fontId="4" fillId="28" borderId="0" xfId="439" applyNumberFormat="1" applyFill="1"/>
    <xf numFmtId="4" fontId="4" fillId="28" borderId="0" xfId="439" applyNumberFormat="1" applyFill="1"/>
    <xf numFmtId="0" fontId="4" fillId="29" borderId="0" xfId="439" applyFill="1"/>
    <xf numFmtId="0" fontId="26" fillId="29" borderId="0" xfId="3032" applyFont="1" applyFill="1" applyAlignment="1">
      <alignment vertical="center"/>
    </xf>
    <xf numFmtId="0" fontId="3" fillId="29" borderId="0" xfId="439" applyFont="1" applyFill="1"/>
    <xf numFmtId="0" fontId="99" fillId="29" borderId="0" xfId="439" applyFont="1" applyFill="1" applyAlignment="1">
      <alignment vertical="center"/>
    </xf>
    <xf numFmtId="0" fontId="26" fillId="29" borderId="0" xfId="430" applyFont="1" applyFill="1" applyAlignment="1">
      <alignment horizontal="left" vertical="center"/>
    </xf>
    <xf numFmtId="0" fontId="4" fillId="29" borderId="0" xfId="439" applyFill="1" applyAlignment="1">
      <alignment horizontal="left"/>
    </xf>
    <xf numFmtId="43" fontId="4" fillId="29" borderId="0" xfId="439" applyNumberFormat="1" applyFill="1"/>
    <xf numFmtId="165" fontId="4" fillId="28" borderId="0" xfId="439" applyNumberFormat="1" applyFill="1"/>
    <xf numFmtId="0" fontId="100" fillId="0" borderId="0" xfId="439" applyFont="1"/>
    <xf numFmtId="2" fontId="3" fillId="28" borderId="0" xfId="439" applyNumberFormat="1" applyFont="1" applyFill="1"/>
    <xf numFmtId="189" fontId="65" fillId="28" borderId="0" xfId="439" applyNumberFormat="1" applyFont="1" applyFill="1"/>
    <xf numFmtId="0" fontId="27" fillId="0" borderId="0" xfId="0" applyFont="1" applyAlignment="1">
      <alignment vertical="center"/>
    </xf>
    <xf numFmtId="2" fontId="47" fillId="0" borderId="0" xfId="0" applyNumberFormat="1" applyFont="1" applyAlignment="1">
      <alignment horizontal="center" vertical="center"/>
    </xf>
    <xf numFmtId="0" fontId="55" fillId="0" borderId="0" xfId="0" applyFont="1" applyAlignment="1">
      <alignment vertical="center"/>
    </xf>
    <xf numFmtId="0" fontId="53" fillId="25" borderId="96" xfId="0" applyFont="1" applyFill="1" applyBorder="1" applyAlignment="1">
      <alignment horizontal="center" vertical="center" wrapText="1"/>
    </xf>
    <xf numFmtId="0" fontId="53" fillId="25" borderId="96" xfId="0" applyFont="1" applyFill="1" applyBorder="1" applyAlignment="1">
      <alignment horizontal="center" vertical="center"/>
    </xf>
    <xf numFmtId="0" fontId="90" fillId="28" borderId="96" xfId="0" applyFont="1" applyFill="1" applyBorder="1" applyAlignment="1">
      <alignment horizontal="justify" vertical="center" wrapText="1"/>
    </xf>
    <xf numFmtId="0" fontId="0" fillId="0" borderId="0" xfId="0" applyAlignment="1">
      <alignment horizontal="left"/>
    </xf>
    <xf numFmtId="0" fontId="90" fillId="0" borderId="96" xfId="0" applyFont="1" applyBorder="1" applyAlignment="1">
      <alignment horizontal="justify" vertical="center" wrapText="1"/>
    </xf>
    <xf numFmtId="0" fontId="106" fillId="0" borderId="0" xfId="0" applyFont="1" applyAlignment="1">
      <alignment horizontal="left"/>
    </xf>
    <xf numFmtId="0" fontId="53" fillId="0" borderId="96" xfId="0" applyFont="1" applyBorder="1" applyAlignment="1">
      <alignment horizontal="justify" vertical="center" wrapText="1"/>
    </xf>
    <xf numFmtId="0" fontId="61" fillId="0" borderId="0" xfId="0" applyFont="1"/>
    <xf numFmtId="0" fontId="111" fillId="0" borderId="0" xfId="0" applyFont="1"/>
    <xf numFmtId="0" fontId="106" fillId="0" borderId="0" xfId="0" applyFont="1"/>
    <xf numFmtId="0" fontId="104" fillId="0" borderId="0" xfId="0" applyFont="1" applyAlignment="1">
      <alignment horizontal="left"/>
    </xf>
    <xf numFmtId="0" fontId="52" fillId="0" borderId="93" xfId="0" applyFont="1" applyBorder="1" applyAlignment="1">
      <alignment vertical="center"/>
    </xf>
    <xf numFmtId="0" fontId="47" fillId="0" borderId="0" xfId="0" applyFont="1" applyAlignment="1">
      <alignment vertical="top"/>
    </xf>
    <xf numFmtId="0" fontId="118" fillId="0" borderId="101" xfId="0" applyFont="1" applyBorder="1" applyAlignment="1">
      <alignment vertical="center"/>
    </xf>
    <xf numFmtId="0" fontId="119" fillId="0" borderId="0" xfId="0" applyFont="1" applyAlignment="1">
      <alignment vertical="center"/>
    </xf>
    <xf numFmtId="0" fontId="117" fillId="0" borderId="0" xfId="0" applyFont="1" applyAlignment="1">
      <alignment vertical="center"/>
    </xf>
    <xf numFmtId="2" fontId="90" fillId="0" borderId="0" xfId="1" applyNumberFormat="1" applyFont="1" applyBorder="1" applyAlignment="1">
      <alignment horizontal="center" vertical="center"/>
    </xf>
    <xf numFmtId="0" fontId="90" fillId="0" borderId="0" xfId="0" applyFont="1" applyAlignment="1">
      <alignment horizontal="left" vertical="top" wrapText="1"/>
    </xf>
    <xf numFmtId="0" fontId="4" fillId="28" borderId="96" xfId="0" applyFont="1" applyFill="1" applyBorder="1" applyAlignment="1">
      <alignment vertical="center"/>
    </xf>
    <xf numFmtId="0" fontId="55" fillId="28" borderId="0" xfId="0" applyFont="1" applyFill="1" applyAlignment="1">
      <alignment vertical="center"/>
    </xf>
    <xf numFmtId="0" fontId="48" fillId="28" borderId="0" xfId="160" applyFont="1" applyFill="1" applyAlignment="1">
      <alignment horizontal="left" vertical="center"/>
    </xf>
    <xf numFmtId="0" fontId="3" fillId="28" borderId="0" xfId="160" applyFont="1" applyFill="1" applyAlignment="1">
      <alignment horizontal="left" vertical="center"/>
    </xf>
    <xf numFmtId="0" fontId="3" fillId="28" borderId="0" xfId="160" applyFont="1" applyFill="1" applyAlignment="1">
      <alignment vertical="center"/>
    </xf>
    <xf numFmtId="0" fontId="90" fillId="28" borderId="0" xfId="0" applyFont="1" applyFill="1" applyAlignment="1">
      <alignment horizontal="left" vertical="center"/>
    </xf>
    <xf numFmtId="0" fontId="47" fillId="28" borderId="0" xfId="0" applyFont="1" applyFill="1" applyAlignment="1">
      <alignment vertical="center"/>
    </xf>
    <xf numFmtId="0" fontId="28" fillId="0" borderId="0" xfId="160" applyFont="1" applyAlignment="1">
      <alignment horizontal="center" vertical="center"/>
    </xf>
    <xf numFmtId="190" fontId="3" fillId="0" borderId="0" xfId="51" applyNumberFormat="1" applyFont="1" applyFill="1" applyBorder="1" applyAlignment="1">
      <alignment horizontal="center" vertical="center"/>
    </xf>
    <xf numFmtId="10" fontId="3" fillId="0" borderId="0" xfId="160" applyNumberFormat="1" applyFont="1" applyAlignment="1">
      <alignment horizontal="center" vertical="center"/>
    </xf>
    <xf numFmtId="190" fontId="3" fillId="0" borderId="0" xfId="160" applyNumberFormat="1" applyFont="1" applyAlignment="1">
      <alignment horizontal="center" vertical="center"/>
    </xf>
    <xf numFmtId="0" fontId="3" fillId="0" borderId="0" xfId="160" applyFont="1" applyAlignment="1" applyProtection="1">
      <alignment horizontal="center" vertical="center"/>
      <protection locked="0"/>
    </xf>
    <xf numFmtId="0" fontId="28" fillId="28" borderId="0" xfId="160" applyFont="1" applyFill="1" applyAlignment="1" applyProtection="1">
      <alignment horizontal="center" vertical="center" wrapText="1"/>
      <protection locked="0"/>
    </xf>
    <xf numFmtId="0" fontId="118" fillId="0" borderId="103" xfId="0" applyFont="1" applyBorder="1" applyAlignment="1">
      <alignment vertical="center"/>
    </xf>
    <xf numFmtId="0" fontId="116" fillId="0" borderId="101" xfId="160" applyFont="1" applyBorder="1" applyAlignment="1">
      <alignment vertical="center"/>
    </xf>
    <xf numFmtId="0" fontId="118" fillId="0" borderId="101" xfId="160" applyFont="1" applyBorder="1" applyAlignment="1">
      <alignment vertical="center"/>
    </xf>
    <xf numFmtId="49" fontId="99" fillId="29" borderId="0" xfId="439" applyNumberFormat="1" applyFont="1" applyFill="1" applyAlignment="1">
      <alignment vertical="center" wrapText="1"/>
    </xf>
    <xf numFmtId="2" fontId="99" fillId="29" borderId="0" xfId="439" applyNumberFormat="1" applyFont="1" applyFill="1" applyAlignment="1">
      <alignment vertical="center" wrapText="1"/>
    </xf>
    <xf numFmtId="0" fontId="4" fillId="0" borderId="0" xfId="3032" applyAlignment="1">
      <alignment wrapText="1"/>
    </xf>
    <xf numFmtId="0" fontId="70" fillId="0" borderId="0" xfId="3032" applyFont="1" applyAlignment="1">
      <alignment wrapText="1"/>
    </xf>
    <xf numFmtId="0" fontId="88" fillId="31" borderId="0" xfId="0" applyFont="1" applyFill="1" applyAlignment="1">
      <alignment wrapText="1"/>
    </xf>
    <xf numFmtId="0" fontId="88" fillId="29" borderId="0" xfId="0" applyFont="1" applyFill="1" applyAlignment="1">
      <alignment wrapText="1"/>
    </xf>
    <xf numFmtId="0" fontId="88" fillId="25" borderId="0" xfId="0" applyFont="1" applyFill="1" applyAlignment="1">
      <alignment wrapText="1"/>
    </xf>
    <xf numFmtId="0" fontId="88" fillId="31" borderId="0" xfId="0" applyFont="1" applyFill="1" applyAlignment="1">
      <alignment horizontal="center" wrapText="1"/>
    </xf>
    <xf numFmtId="0" fontId="88" fillId="31" borderId="40" xfId="0" applyFont="1" applyFill="1" applyBorder="1" applyAlignment="1">
      <alignment wrapText="1"/>
    </xf>
    <xf numFmtId="0" fontId="88" fillId="31" borderId="6" xfId="0" applyFont="1" applyFill="1" applyBorder="1" applyAlignment="1">
      <alignment wrapText="1"/>
    </xf>
    <xf numFmtId="0" fontId="82" fillId="28" borderId="69" xfId="3032" applyFont="1" applyFill="1" applyBorder="1" applyAlignment="1">
      <alignment horizontal="center" vertical="center"/>
    </xf>
    <xf numFmtId="2" fontId="4" fillId="0" borderId="0" xfId="3032" applyNumberFormat="1" applyAlignment="1">
      <alignment wrapText="1"/>
    </xf>
    <xf numFmtId="2" fontId="88" fillId="31" borderId="0" xfId="0" applyNumberFormat="1" applyFont="1" applyFill="1" applyAlignment="1">
      <alignment wrapText="1"/>
    </xf>
    <xf numFmtId="0" fontId="65" fillId="0" borderId="0" xfId="3032" applyFont="1" applyAlignment="1">
      <alignment horizontal="center"/>
    </xf>
    <xf numFmtId="0" fontId="6" fillId="0" borderId="31" xfId="3032" applyFont="1" applyBorder="1" applyAlignment="1">
      <alignment horizontal="center" vertical="center"/>
    </xf>
    <xf numFmtId="0" fontId="80" fillId="0" borderId="96" xfId="3032" applyFont="1" applyBorder="1" applyAlignment="1">
      <alignment horizontal="center" vertical="center" wrapText="1"/>
    </xf>
    <xf numFmtId="0" fontId="81" fillId="28" borderId="65" xfId="0" applyFont="1" applyFill="1" applyBorder="1" applyAlignment="1">
      <alignment horizontal="center"/>
    </xf>
    <xf numFmtId="10" fontId="81" fillId="28" borderId="67" xfId="0" applyNumberFormat="1" applyFont="1" applyFill="1" applyBorder="1" applyAlignment="1">
      <alignment horizontal="center"/>
    </xf>
    <xf numFmtId="0" fontId="6" fillId="28" borderId="65" xfId="0" applyFont="1" applyFill="1" applyBorder="1" applyAlignment="1">
      <alignment horizontal="center"/>
    </xf>
    <xf numFmtId="10" fontId="6" fillId="28" borderId="67" xfId="0" applyNumberFormat="1" applyFont="1" applyFill="1" applyBorder="1" applyAlignment="1">
      <alignment horizontal="center"/>
    </xf>
    <xf numFmtId="10" fontId="82" fillId="28" borderId="111" xfId="3032" applyNumberFormat="1" applyFont="1" applyFill="1" applyBorder="1" applyAlignment="1">
      <alignment horizontal="center" vertical="center"/>
    </xf>
    <xf numFmtId="0" fontId="61" fillId="28" borderId="0" xfId="3032" applyFont="1" applyFill="1" applyAlignment="1">
      <alignment horizontal="center" vertical="center" wrapText="1"/>
    </xf>
    <xf numFmtId="0" fontId="122" fillId="28" borderId="0" xfId="0" applyFont="1" applyFill="1" applyAlignment="1">
      <alignment horizontal="center" vertical="center" wrapText="1"/>
    </xf>
    <xf numFmtId="0" fontId="88" fillId="29" borderId="0" xfId="0" applyFont="1" applyFill="1" applyAlignment="1">
      <alignment horizontal="center" vertical="center" wrapText="1"/>
    </xf>
    <xf numFmtId="0" fontId="88" fillId="25" borderId="0" xfId="0" applyFont="1" applyFill="1" applyAlignment="1">
      <alignment horizontal="center" vertical="center" wrapText="1"/>
    </xf>
    <xf numFmtId="0" fontId="61" fillId="28" borderId="96" xfId="3032" applyFont="1" applyFill="1" applyBorder="1" applyAlignment="1">
      <alignment horizontal="center" vertical="center" wrapText="1"/>
    </xf>
    <xf numFmtId="0" fontId="1" fillId="28" borderId="96" xfId="0" applyFont="1" applyFill="1" applyBorder="1" applyAlignment="1">
      <alignment horizontal="center" vertical="center" wrapText="1"/>
    </xf>
    <xf numFmtId="0" fontId="122" fillId="28" borderId="96" xfId="0" applyFont="1" applyFill="1" applyBorder="1" applyAlignment="1">
      <alignment horizontal="center" vertical="center" wrapText="1"/>
    </xf>
    <xf numFmtId="0" fontId="123" fillId="32" borderId="0" xfId="0" applyFont="1" applyFill="1"/>
    <xf numFmtId="2" fontId="66" fillId="36" borderId="107" xfId="439" applyNumberFormat="1" applyFont="1" applyFill="1" applyBorder="1" applyAlignment="1" applyProtection="1">
      <alignment horizontal="center" vertical="center"/>
      <protection hidden="1"/>
    </xf>
    <xf numFmtId="203" fontId="4" fillId="28" borderId="14" xfId="439" applyNumberFormat="1" applyFill="1" applyBorder="1" applyAlignment="1">
      <alignment horizontal="center"/>
    </xf>
    <xf numFmtId="0" fontId="28" fillId="28" borderId="0" xfId="439" applyFont="1" applyFill="1"/>
    <xf numFmtId="0" fontId="5" fillId="28" borderId="0" xfId="439" applyFont="1" applyFill="1"/>
    <xf numFmtId="0" fontId="107" fillId="0" borderId="0" xfId="3032" applyFont="1" applyAlignment="1">
      <alignment wrapText="1"/>
    </xf>
    <xf numFmtId="2" fontId="4" fillId="0" borderId="0" xfId="3032" applyNumberFormat="1" applyAlignment="1">
      <alignment horizontal="left" wrapText="1"/>
    </xf>
    <xf numFmtId="0" fontId="106" fillId="28" borderId="0" xfId="0" applyFont="1" applyFill="1"/>
    <xf numFmtId="0" fontId="2" fillId="32" borderId="0" xfId="0" applyFont="1" applyFill="1"/>
    <xf numFmtId="2" fontId="88" fillId="29" borderId="0" xfId="0" applyNumberFormat="1" applyFont="1" applyFill="1" applyAlignment="1">
      <alignment wrapText="1"/>
    </xf>
    <xf numFmtId="2" fontId="88" fillId="25" borderId="0" xfId="0" applyNumberFormat="1" applyFont="1" applyFill="1" applyAlignment="1">
      <alignment wrapText="1"/>
    </xf>
    <xf numFmtId="9" fontId="65" fillId="28" borderId="0" xfId="5871" applyFont="1" applyFill="1"/>
    <xf numFmtId="0" fontId="90" fillId="0" borderId="96" xfId="0" applyFont="1" applyBorder="1" applyAlignment="1">
      <alignment horizontal="left" vertical="center" wrapText="1"/>
    </xf>
    <xf numFmtId="0" fontId="90" fillId="0" borderId="96" xfId="0" applyFont="1" applyBorder="1" applyAlignment="1">
      <alignment horizontal="center" vertical="center" wrapText="1"/>
    </xf>
    <xf numFmtId="0" fontId="53" fillId="0" borderId="96" xfId="0" applyFont="1" applyBorder="1" applyAlignment="1">
      <alignment horizontal="center" vertical="center" wrapText="1"/>
    </xf>
    <xf numFmtId="0" fontId="4" fillId="32" borderId="14" xfId="0" applyFont="1" applyFill="1" applyBorder="1" applyAlignment="1">
      <alignment vertical="center"/>
    </xf>
    <xf numFmtId="0" fontId="4" fillId="29" borderId="108" xfId="439" applyFill="1" applyBorder="1"/>
    <xf numFmtId="0" fontId="3" fillId="29" borderId="109" xfId="439" applyFont="1" applyFill="1" applyBorder="1"/>
    <xf numFmtId="0" fontId="4" fillId="29" borderId="109" xfId="439" applyFill="1" applyBorder="1"/>
    <xf numFmtId="0" fontId="4" fillId="29" borderId="110" xfId="439" applyFill="1" applyBorder="1"/>
    <xf numFmtId="196" fontId="68" fillId="36" borderId="96" xfId="439" applyNumberFormat="1" applyFont="1" applyFill="1" applyBorder="1" applyAlignment="1" applyProtection="1">
      <alignment horizontal="center" vertical="center" wrapText="1"/>
      <protection hidden="1"/>
    </xf>
    <xf numFmtId="0" fontId="67" fillId="29" borderId="93" xfId="439" applyFont="1" applyFill="1" applyBorder="1"/>
    <xf numFmtId="0" fontId="95" fillId="29" borderId="93" xfId="439" applyFont="1" applyFill="1" applyBorder="1"/>
    <xf numFmtId="0" fontId="96" fillId="29" borderId="93" xfId="439" applyFont="1" applyFill="1" applyBorder="1"/>
    <xf numFmtId="2" fontId="24" fillId="0" borderId="0" xfId="0" applyNumberFormat="1" applyFont="1" applyAlignment="1">
      <alignment horizontal="center" vertical="center"/>
    </xf>
    <xf numFmtId="0" fontId="24" fillId="0" borderId="0" xfId="0" applyFont="1"/>
    <xf numFmtId="4" fontId="148" fillId="0" borderId="0" xfId="0" applyNumberFormat="1" applyFont="1"/>
    <xf numFmtId="43" fontId="148" fillId="0" borderId="0" xfId="1" applyFont="1"/>
    <xf numFmtId="169" fontId="4" fillId="0" borderId="0" xfId="0" applyNumberFormat="1" applyFont="1"/>
    <xf numFmtId="43" fontId="24" fillId="0" borderId="0" xfId="1" applyFont="1"/>
    <xf numFmtId="169" fontId="24" fillId="0" borderId="0" xfId="0" applyNumberFormat="1" applyFont="1"/>
    <xf numFmtId="4" fontId="24" fillId="0" borderId="0" xfId="0" applyNumberFormat="1" applyFont="1"/>
    <xf numFmtId="4" fontId="24" fillId="0" borderId="0" xfId="0" applyNumberFormat="1" applyFont="1" applyAlignment="1">
      <alignment horizontal="center" vertical="center"/>
    </xf>
    <xf numFmtId="0" fontId="26" fillId="28" borderId="109" xfId="430" applyFont="1" applyFill="1" applyBorder="1" applyAlignment="1">
      <alignment vertical="center"/>
    </xf>
    <xf numFmtId="43" fontId="4" fillId="28" borderId="110" xfId="1" applyFont="1" applyFill="1" applyBorder="1"/>
    <xf numFmtId="0" fontId="26" fillId="28" borderId="110" xfId="430" applyFont="1" applyFill="1" applyBorder="1" applyAlignment="1">
      <alignment vertical="center"/>
    </xf>
    <xf numFmtId="0" fontId="5" fillId="28" borderId="0" xfId="430" applyFont="1" applyFill="1" applyAlignment="1">
      <alignment vertical="center"/>
    </xf>
    <xf numFmtId="0" fontId="26" fillId="28" borderId="0" xfId="430" applyFont="1" applyFill="1" applyAlignment="1">
      <alignment vertical="center"/>
    </xf>
    <xf numFmtId="43" fontId="4" fillId="28" borderId="100" xfId="1" applyFont="1" applyFill="1" applyBorder="1"/>
    <xf numFmtId="0" fontId="5" fillId="28" borderId="93" xfId="430" applyFont="1" applyFill="1" applyBorder="1" applyAlignment="1">
      <alignment vertical="center"/>
    </xf>
    <xf numFmtId="43" fontId="5" fillId="28" borderId="93" xfId="1" applyFont="1" applyFill="1" applyBorder="1" applyAlignment="1">
      <alignment horizontal="left" vertical="center"/>
    </xf>
    <xf numFmtId="0" fontId="5" fillId="28" borderId="93" xfId="430" applyFont="1" applyFill="1" applyBorder="1" applyAlignment="1">
      <alignment horizontal="left" vertical="center"/>
    </xf>
    <xf numFmtId="0" fontId="24" fillId="25" borderId="0" xfId="0" applyFont="1" applyFill="1" applyAlignment="1">
      <alignment vertical="center"/>
    </xf>
    <xf numFmtId="2" fontId="60" fillId="25" borderId="96" xfId="0" applyNumberFormat="1" applyFont="1" applyFill="1" applyBorder="1" applyAlignment="1">
      <alignment horizontal="center" vertical="center"/>
    </xf>
    <xf numFmtId="43" fontId="60" fillId="25" borderId="96" xfId="1" applyFont="1" applyFill="1" applyBorder="1" applyAlignment="1" applyProtection="1">
      <alignment horizontal="center" vertical="center"/>
      <protection locked="0"/>
    </xf>
    <xf numFmtId="0" fontId="54" fillId="25" borderId="106" xfId="3042" applyFont="1" applyFill="1" applyBorder="1" applyAlignment="1">
      <alignment vertical="center"/>
    </xf>
    <xf numFmtId="43" fontId="54" fillId="25" borderId="106" xfId="1" applyFont="1" applyFill="1" applyBorder="1" applyAlignment="1">
      <alignment vertical="center"/>
    </xf>
    <xf numFmtId="43" fontId="54" fillId="25" borderId="105" xfId="1" applyFont="1" applyFill="1" applyBorder="1" applyAlignment="1">
      <alignment vertical="center"/>
    </xf>
    <xf numFmtId="0" fontId="24" fillId="25" borderId="0" xfId="0" applyFont="1" applyFill="1"/>
    <xf numFmtId="2" fontId="54" fillId="25" borderId="104" xfId="3042" applyNumberFormat="1" applyFont="1" applyFill="1" applyBorder="1" applyAlignment="1">
      <alignment horizontal="center" vertical="center"/>
    </xf>
    <xf numFmtId="2" fontId="54" fillId="29" borderId="108" xfId="3042" applyNumberFormat="1" applyFont="1" applyFill="1" applyBorder="1" applyAlignment="1">
      <alignment horizontal="center" vertical="center"/>
    </xf>
    <xf numFmtId="0" fontId="54" fillId="29" borderId="109" xfId="3042" applyFont="1" applyFill="1" applyBorder="1" applyAlignment="1">
      <alignment vertical="center"/>
    </xf>
    <xf numFmtId="43" fontId="54" fillId="29" borderId="109" xfId="1" applyFont="1" applyFill="1" applyBorder="1" applyAlignment="1">
      <alignment vertical="center"/>
    </xf>
    <xf numFmtId="43" fontId="54" fillId="29" borderId="110" xfId="1" applyFont="1" applyFill="1" applyBorder="1" applyAlignment="1">
      <alignment vertical="center"/>
    </xf>
    <xf numFmtId="0" fontId="47" fillId="28" borderId="33" xfId="0" applyFont="1" applyFill="1" applyBorder="1" applyAlignment="1">
      <alignment horizontal="center" vertical="center"/>
    </xf>
    <xf numFmtId="0" fontId="61" fillId="0" borderId="33" xfId="3042" applyFont="1" applyBorder="1" applyAlignment="1">
      <alignment horizontal="justify" vertical="center" wrapText="1"/>
    </xf>
    <xf numFmtId="43" fontId="4" fillId="0" borderId="74" xfId="1" applyFont="1" applyBorder="1" applyAlignment="1">
      <alignment horizontal="center" vertical="center" wrapText="1"/>
    </xf>
    <xf numFmtId="2" fontId="54" fillId="29" borderId="104" xfId="3042" applyNumberFormat="1" applyFont="1" applyFill="1" applyBorder="1" applyAlignment="1">
      <alignment horizontal="center" vertical="center"/>
    </xf>
    <xf numFmtId="0" fontId="54" fillId="29" borderId="106" xfId="3042" applyFont="1" applyFill="1" applyBorder="1" applyAlignment="1">
      <alignment vertical="center"/>
    </xf>
    <xf numFmtId="43" fontId="54" fillId="29" borderId="106" xfId="1" applyFont="1" applyFill="1" applyBorder="1" applyAlignment="1">
      <alignment vertical="center"/>
    </xf>
    <xf numFmtId="43" fontId="54" fillId="29" borderId="105" xfId="1" applyFont="1" applyFill="1" applyBorder="1" applyAlignment="1">
      <alignment vertical="center"/>
    </xf>
    <xf numFmtId="2" fontId="148" fillId="0" borderId="45" xfId="0" applyNumberFormat="1" applyFont="1" applyBorder="1" applyAlignment="1">
      <alignment horizontal="center" vertical="center"/>
    </xf>
    <xf numFmtId="1" fontId="148" fillId="0" borderId="45" xfId="3043" applyNumberFormat="1" applyFont="1" applyBorder="1" applyAlignment="1">
      <alignment horizontal="center" vertical="center"/>
    </xf>
    <xf numFmtId="0" fontId="61" fillId="0" borderId="45" xfId="3042" applyFont="1" applyBorder="1" applyAlignment="1">
      <alignment horizontal="justify" vertical="center" wrapText="1"/>
    </xf>
    <xf numFmtId="0" fontId="4" fillId="0" borderId="45" xfId="3044" applyFont="1" applyBorder="1" applyAlignment="1">
      <alignment horizontal="center" vertical="center"/>
    </xf>
    <xf numFmtId="43" fontId="4" fillId="0" borderId="67" xfId="1" applyFont="1" applyBorder="1" applyAlignment="1">
      <alignment horizontal="center" vertical="center" wrapText="1"/>
    </xf>
    <xf numFmtId="2" fontId="148" fillId="0" borderId="33" xfId="0" applyNumberFormat="1" applyFont="1" applyBorder="1" applyAlignment="1">
      <alignment horizontal="center" vertical="center"/>
    </xf>
    <xf numFmtId="1" fontId="148" fillId="0" borderId="33" xfId="3043" applyNumberFormat="1" applyFont="1" applyBorder="1" applyAlignment="1">
      <alignment horizontal="center" vertical="center"/>
    </xf>
    <xf numFmtId="0" fontId="4" fillId="0" borderId="33" xfId="3044" applyFont="1" applyBorder="1" applyAlignment="1">
      <alignment horizontal="center" vertical="center"/>
    </xf>
    <xf numFmtId="43" fontId="60" fillId="29" borderId="105" xfId="1" applyFont="1" applyFill="1" applyBorder="1" applyAlignment="1">
      <alignment horizontal="right" vertical="center"/>
    </xf>
    <xf numFmtId="43" fontId="60" fillId="0" borderId="0" xfId="1" applyFont="1" applyAlignment="1" applyProtection="1">
      <alignment horizontal="center" vertical="center"/>
      <protection locked="0"/>
    </xf>
    <xf numFmtId="4" fontId="60" fillId="0" borderId="0" xfId="3041" applyNumberFormat="1" applyFont="1" applyAlignment="1" applyProtection="1">
      <alignment horizontal="center" vertical="center"/>
      <protection locked="0"/>
    </xf>
    <xf numFmtId="43" fontId="148" fillId="0" borderId="0" xfId="1" applyFont="1" applyBorder="1" applyAlignment="1" applyProtection="1">
      <alignment horizontal="center" vertical="center"/>
      <protection locked="0"/>
    </xf>
    <xf numFmtId="4" fontId="24" fillId="0" borderId="0" xfId="0" applyNumberFormat="1" applyFont="1" applyAlignment="1">
      <alignment horizontal="right"/>
    </xf>
    <xf numFmtId="0" fontId="24" fillId="0" borderId="0" xfId="0" applyFont="1" applyAlignment="1">
      <alignment horizontal="right"/>
    </xf>
    <xf numFmtId="0" fontId="27" fillId="28" borderId="109" xfId="3032" applyFont="1" applyFill="1" applyBorder="1" applyAlignment="1">
      <alignment vertical="center"/>
    </xf>
    <xf numFmtId="0" fontId="4" fillId="28" borderId="0" xfId="3032" applyFill="1" applyAlignment="1">
      <alignment vertical="center"/>
    </xf>
    <xf numFmtId="0" fontId="27" fillId="28" borderId="0" xfId="3032" applyFont="1" applyFill="1" applyAlignment="1">
      <alignment vertical="center"/>
    </xf>
    <xf numFmtId="0" fontId="4" fillId="28" borderId="93" xfId="3032" applyFill="1" applyBorder="1"/>
    <xf numFmtId="4" fontId="4" fillId="28" borderId="93" xfId="3032" applyNumberFormat="1" applyFill="1" applyBorder="1"/>
    <xf numFmtId="4" fontId="5" fillId="28" borderId="93" xfId="430" applyNumberFormat="1" applyFont="1" applyFill="1" applyBorder="1" applyAlignment="1">
      <alignment vertical="center"/>
    </xf>
    <xf numFmtId="0" fontId="26" fillId="28" borderId="93" xfId="430" applyFont="1" applyFill="1" applyBorder="1" applyAlignment="1">
      <alignment vertical="center"/>
    </xf>
    <xf numFmtId="0" fontId="4" fillId="0" borderId="93" xfId="3032" applyBorder="1"/>
    <xf numFmtId="2" fontId="149" fillId="28" borderId="0" xfId="0" applyNumberFormat="1" applyFont="1" applyFill="1" applyAlignment="1">
      <alignment vertical="center"/>
    </xf>
    <xf numFmtId="0" fontId="27" fillId="28" borderId="0" xfId="0" applyFont="1" applyFill="1" applyAlignment="1">
      <alignment vertical="center"/>
    </xf>
    <xf numFmtId="0" fontId="28" fillId="26" borderId="104" xfId="0" applyFont="1" applyFill="1" applyBorder="1" applyAlignment="1">
      <alignment horizontal="center" vertical="center"/>
    </xf>
    <xf numFmtId="0" fontId="28" fillId="26" borderId="106" xfId="0" applyFont="1" applyFill="1" applyBorder="1" applyAlignment="1">
      <alignment vertical="center"/>
    </xf>
    <xf numFmtId="0" fontId="28" fillId="26" borderId="106" xfId="0" applyFont="1" applyFill="1" applyBorder="1" applyAlignment="1">
      <alignment horizontal="center" vertical="center"/>
    </xf>
    <xf numFmtId="1" fontId="150" fillId="26" borderId="106" xfId="0" applyNumberFormat="1" applyFont="1" applyFill="1" applyBorder="1" applyAlignment="1">
      <alignment horizontal="right" vertical="center"/>
    </xf>
    <xf numFmtId="169" fontId="150" fillId="26" borderId="106" xfId="0" applyNumberFormat="1" applyFont="1" applyFill="1" applyBorder="1" applyAlignment="1">
      <alignment horizontal="right" vertical="center"/>
    </xf>
    <xf numFmtId="169" fontId="27" fillId="25" borderId="0" xfId="0" applyNumberFormat="1" applyFont="1" applyFill="1" applyAlignment="1">
      <alignment vertical="center"/>
    </xf>
    <xf numFmtId="2" fontId="149" fillId="25" borderId="0" xfId="0" applyNumberFormat="1" applyFont="1" applyFill="1" applyAlignment="1">
      <alignment vertical="center"/>
    </xf>
    <xf numFmtId="0" fontId="28" fillId="25" borderId="104" xfId="0" applyFont="1" applyFill="1" applyBorder="1" applyAlignment="1">
      <alignment horizontal="center" vertical="center"/>
    </xf>
    <xf numFmtId="0" fontId="28" fillId="25" borderId="106" xfId="0" applyFont="1" applyFill="1" applyBorder="1" applyAlignment="1">
      <alignment vertical="center"/>
    </xf>
    <xf numFmtId="0" fontId="28" fillId="25" borderId="106" xfId="0" applyFont="1" applyFill="1" applyBorder="1" applyAlignment="1">
      <alignment horizontal="center" vertical="center"/>
    </xf>
    <xf numFmtId="1" fontId="150" fillId="25" borderId="106" xfId="0" applyNumberFormat="1" applyFont="1" applyFill="1" applyBorder="1" applyAlignment="1">
      <alignment horizontal="right" vertical="center"/>
    </xf>
    <xf numFmtId="169" fontId="150" fillId="25" borderId="106" xfId="0" applyNumberFormat="1" applyFont="1" applyFill="1" applyBorder="1" applyAlignment="1">
      <alignment horizontal="right" vertical="center"/>
    </xf>
    <xf numFmtId="0" fontId="27" fillId="25" borderId="0" xfId="0" applyFont="1" applyFill="1" applyAlignment="1">
      <alignment vertical="center"/>
    </xf>
    <xf numFmtId="2" fontId="4" fillId="32" borderId="0" xfId="3032" applyNumberFormat="1" applyFill="1" applyAlignment="1">
      <alignment horizontal="center" vertical="center"/>
    </xf>
    <xf numFmtId="0" fontId="28" fillId="28" borderId="107" xfId="3032" applyFont="1" applyFill="1" applyBorder="1" applyAlignment="1">
      <alignment horizontal="center" wrapText="1"/>
    </xf>
    <xf numFmtId="0" fontId="4" fillId="32" borderId="0" xfId="3032" applyFill="1"/>
    <xf numFmtId="0" fontId="28" fillId="28" borderId="92" xfId="3032" applyFont="1" applyFill="1" applyBorder="1" applyAlignment="1">
      <alignment horizontal="center" vertical="top" wrapText="1"/>
    </xf>
    <xf numFmtId="2" fontId="46" fillId="28" borderId="0" xfId="3032" applyNumberFormat="1" applyFont="1" applyFill="1" applyAlignment="1">
      <alignment horizontal="center" vertical="center"/>
    </xf>
    <xf numFmtId="49" fontId="75" fillId="28" borderId="33" xfId="283" applyNumberFormat="1" applyFont="1" applyFill="1" applyBorder="1" applyAlignment="1">
      <alignment horizontal="center" vertical="center" wrapText="1"/>
    </xf>
    <xf numFmtId="43" fontId="75" fillId="28" borderId="35" xfId="1" applyFont="1" applyFill="1" applyBorder="1" applyAlignment="1">
      <alignment horizontal="center" vertical="center" wrapText="1"/>
    </xf>
    <xf numFmtId="174" fontId="75" fillId="28" borderId="107" xfId="1" applyNumberFormat="1" applyFont="1" applyFill="1" applyBorder="1" applyAlignment="1">
      <alignment horizontal="center" vertical="distributed" wrapText="1"/>
    </xf>
    <xf numFmtId="0" fontId="46" fillId="28" borderId="0" xfId="3032" applyFont="1" applyFill="1" applyAlignment="1">
      <alignment horizontal="center"/>
    </xf>
    <xf numFmtId="1" fontId="46" fillId="28" borderId="0" xfId="3032" applyNumberFormat="1" applyFont="1" applyFill="1" applyAlignment="1">
      <alignment horizontal="center"/>
    </xf>
    <xf numFmtId="0" fontId="46" fillId="33" borderId="0" xfId="3032" applyFont="1" applyFill="1" applyAlignment="1">
      <alignment horizontal="center"/>
    </xf>
    <xf numFmtId="2" fontId="46" fillId="28" borderId="0" xfId="3032" applyNumberFormat="1" applyFont="1" applyFill="1"/>
    <xf numFmtId="0" fontId="46" fillId="28" borderId="0" xfId="3032" applyFont="1" applyFill="1"/>
    <xf numFmtId="174" fontId="75" fillId="28" borderId="33" xfId="1" applyNumberFormat="1" applyFont="1" applyFill="1" applyBorder="1" applyAlignment="1">
      <alignment horizontal="center" vertical="distributed" wrapText="1"/>
    </xf>
    <xf numFmtId="43" fontId="75" fillId="28" borderId="53" xfId="1" applyFont="1" applyFill="1" applyBorder="1" applyAlignment="1">
      <alignment horizontal="center" vertical="distributed" wrapText="1"/>
    </xf>
    <xf numFmtId="2" fontId="46" fillId="0" borderId="0" xfId="3032" applyNumberFormat="1" applyFont="1" applyAlignment="1">
      <alignment horizontal="center" vertical="center"/>
    </xf>
    <xf numFmtId="174" fontId="75" fillId="28" borderId="45" xfId="1" applyNumberFormat="1" applyFont="1" applyFill="1" applyBorder="1" applyAlignment="1">
      <alignment horizontal="center" vertical="distributed" wrapText="1"/>
    </xf>
    <xf numFmtId="43" fontId="75" fillId="28" borderId="33" xfId="1" applyFont="1" applyFill="1" applyBorder="1" applyAlignment="1">
      <alignment horizontal="center" vertical="distributed" wrapText="1"/>
    </xf>
    <xf numFmtId="0" fontId="46" fillId="0" borderId="0" xfId="3032" applyFont="1" applyAlignment="1">
      <alignment horizontal="center"/>
    </xf>
    <xf numFmtId="1" fontId="46" fillId="0" borderId="0" xfId="3032" applyNumberFormat="1" applyFont="1" applyAlignment="1">
      <alignment horizontal="center"/>
    </xf>
    <xf numFmtId="0" fontId="46" fillId="0" borderId="0" xfId="3032" applyFont="1"/>
    <xf numFmtId="2" fontId="4" fillId="0" borderId="0" xfId="3032" applyNumberFormat="1" applyAlignment="1">
      <alignment horizontal="center" vertical="center"/>
    </xf>
    <xf numFmtId="169" fontId="3" fillId="28" borderId="32" xfId="1" applyNumberFormat="1" applyFont="1" applyFill="1" applyBorder="1" applyAlignment="1">
      <alignment horizontal="center" vertical="distributed" wrapText="1"/>
    </xf>
    <xf numFmtId="2" fontId="3" fillId="28" borderId="37" xfId="3032" applyNumberFormat="1" applyFont="1" applyFill="1" applyBorder="1" applyAlignment="1">
      <alignment horizontal="center" vertical="distributed" wrapText="1"/>
    </xf>
    <xf numFmtId="2" fontId="151" fillId="29" borderId="105" xfId="3032" applyNumberFormat="1" applyFont="1" applyFill="1" applyBorder="1" applyAlignment="1">
      <alignment horizontal="center" vertical="distributed" wrapText="1"/>
    </xf>
    <xf numFmtId="169" fontId="151" fillId="29" borderId="105" xfId="3032" applyNumberFormat="1" applyFont="1" applyFill="1" applyBorder="1" applyAlignment="1">
      <alignment horizontal="center" vertical="center" wrapText="1"/>
    </xf>
    <xf numFmtId="169" fontId="151" fillId="29" borderId="107" xfId="1" applyNumberFormat="1" applyFont="1" applyFill="1" applyBorder="1" applyAlignment="1">
      <alignment horizontal="center" vertical="center" wrapText="1"/>
    </xf>
    <xf numFmtId="169" fontId="151" fillId="29" borderId="107" xfId="3032" applyNumberFormat="1" applyFont="1" applyFill="1" applyBorder="1" applyAlignment="1">
      <alignment horizontal="center" vertical="center" wrapText="1"/>
    </xf>
    <xf numFmtId="1" fontId="28" fillId="0" borderId="104" xfId="0" applyNumberFormat="1" applyFont="1" applyBorder="1" applyAlignment="1">
      <alignment vertical="center" wrapText="1"/>
    </xf>
    <xf numFmtId="0" fontId="28" fillId="0" borderId="106" xfId="0" applyFont="1" applyBorder="1" applyAlignment="1">
      <alignment vertical="center" wrapText="1"/>
    </xf>
    <xf numFmtId="0" fontId="151" fillId="0" borderId="106" xfId="0" applyFont="1" applyBorder="1" applyAlignment="1">
      <alignment horizontal="right" vertical="center" wrapText="1"/>
    </xf>
    <xf numFmtId="0" fontId="151" fillId="0" borderId="106" xfId="0" applyFont="1" applyBorder="1" applyAlignment="1">
      <alignment horizontal="center" vertical="center" wrapText="1"/>
    </xf>
    <xf numFmtId="10" fontId="151" fillId="0" borderId="106" xfId="3032" applyNumberFormat="1" applyFont="1" applyBorder="1" applyAlignment="1">
      <alignment horizontal="right" vertical="center" wrapText="1"/>
    </xf>
    <xf numFmtId="10" fontId="151" fillId="0" borderId="106" xfId="3032" applyNumberFormat="1" applyFont="1" applyBorder="1" applyAlignment="1">
      <alignment horizontal="center" vertical="center" wrapText="1"/>
    </xf>
    <xf numFmtId="171" fontId="151" fillId="0" borderId="106" xfId="3032" applyNumberFormat="1" applyFont="1" applyBorder="1" applyAlignment="1">
      <alignment horizontal="center" vertical="center" wrapText="1"/>
    </xf>
    <xf numFmtId="0" fontId="151" fillId="0" borderId="106" xfId="3032" applyFont="1" applyBorder="1" applyAlignment="1">
      <alignment horizontal="center" vertical="center" wrapText="1"/>
    </xf>
    <xf numFmtId="169" fontId="151" fillId="0" borderId="106" xfId="1" applyNumberFormat="1" applyFont="1" applyFill="1" applyBorder="1" applyAlignment="1">
      <alignment horizontal="center" vertical="center" wrapText="1"/>
    </xf>
    <xf numFmtId="169" fontId="151" fillId="0" borderId="106" xfId="3032" applyNumberFormat="1" applyFont="1" applyBorder="1" applyAlignment="1">
      <alignment horizontal="center" vertical="center" wrapText="1"/>
    </xf>
    <xf numFmtId="0" fontId="3" fillId="0" borderId="106" xfId="3032" applyFont="1" applyBorder="1" applyAlignment="1">
      <alignment wrapText="1"/>
    </xf>
    <xf numFmtId="0" fontId="3" fillId="0" borderId="105" xfId="3032" applyFont="1" applyBorder="1" applyAlignment="1">
      <alignment wrapText="1"/>
    </xf>
    <xf numFmtId="174" fontId="3" fillId="28" borderId="107" xfId="1" applyNumberFormat="1" applyFont="1" applyFill="1" applyBorder="1" applyAlignment="1">
      <alignment horizontal="center" vertical="distributed" wrapText="1"/>
    </xf>
    <xf numFmtId="43" fontId="3" fillId="28" borderId="53" xfId="1" applyFont="1" applyFill="1" applyBorder="1" applyAlignment="1">
      <alignment horizontal="center" vertical="distributed" wrapText="1"/>
    </xf>
    <xf numFmtId="0" fontId="28" fillId="28" borderId="107" xfId="0" applyFont="1" applyFill="1" applyBorder="1" applyAlignment="1">
      <alignment vertical="center" wrapText="1"/>
    </xf>
    <xf numFmtId="169" fontId="27" fillId="28" borderId="0" xfId="0" applyNumberFormat="1" applyFont="1" applyFill="1" applyAlignment="1">
      <alignment vertical="center"/>
    </xf>
    <xf numFmtId="0" fontId="51" fillId="28" borderId="0" xfId="0" applyFont="1" applyFill="1" applyAlignment="1">
      <alignment horizontal="right" vertical="center"/>
    </xf>
    <xf numFmtId="0" fontId="27" fillId="0" borderId="112" xfId="0" applyFont="1" applyBorder="1" applyAlignment="1">
      <alignment horizontal="center" vertical="center"/>
    </xf>
    <xf numFmtId="0" fontId="27" fillId="28" borderId="117" xfId="0" applyFont="1" applyFill="1" applyBorder="1" applyAlignment="1">
      <alignment vertical="center"/>
    </xf>
    <xf numFmtId="1" fontId="27" fillId="28" borderId="117" xfId="0" applyNumberFormat="1" applyFont="1" applyFill="1" applyBorder="1" applyAlignment="1">
      <alignment horizontal="right" vertical="center"/>
    </xf>
    <xf numFmtId="0" fontId="27" fillId="28" borderId="0" xfId="0" applyFont="1" applyFill="1" applyAlignment="1">
      <alignment horizontal="center" vertical="center"/>
    </xf>
    <xf numFmtId="2" fontId="27" fillId="28" borderId="0" xfId="0" applyNumberFormat="1" applyFont="1" applyFill="1" applyAlignment="1">
      <alignment horizontal="left" vertical="center"/>
    </xf>
    <xf numFmtId="0" fontId="27" fillId="28" borderId="118" xfId="0" applyFont="1" applyFill="1" applyBorder="1" applyAlignment="1">
      <alignment vertical="center"/>
    </xf>
    <xf numFmtId="4" fontId="27" fillId="28" borderId="118" xfId="0" applyNumberFormat="1" applyFont="1" applyFill="1" applyBorder="1" applyAlignment="1">
      <alignment vertical="center"/>
    </xf>
    <xf numFmtId="169" fontId="27" fillId="28" borderId="118" xfId="0" applyNumberFormat="1" applyFont="1" applyFill="1" applyBorder="1" applyAlignment="1">
      <alignment vertical="center"/>
    </xf>
    <xf numFmtId="0" fontId="27" fillId="28" borderId="117" xfId="0" applyFont="1" applyFill="1" applyBorder="1" applyAlignment="1">
      <alignment horizontal="center" vertical="center"/>
    </xf>
    <xf numFmtId="0" fontId="27" fillId="28" borderId="0" xfId="3037" applyNumberFormat="1" applyFont="1" applyFill="1" applyBorder="1" applyAlignment="1">
      <alignment vertical="center"/>
    </xf>
    <xf numFmtId="0" fontId="47" fillId="28" borderId="119" xfId="3051" applyNumberFormat="1" applyFont="1" applyFill="1" applyBorder="1" applyAlignment="1">
      <alignment vertical="center"/>
    </xf>
    <xf numFmtId="1" fontId="54" fillId="25" borderId="104" xfId="3042" applyNumberFormat="1" applyFont="1" applyFill="1" applyBorder="1" applyAlignment="1">
      <alignment horizontal="center" vertical="center"/>
    </xf>
    <xf numFmtId="0" fontId="51" fillId="25" borderId="106" xfId="0" applyFont="1" applyFill="1" applyBorder="1" applyAlignment="1">
      <alignment horizontal="right" vertical="center"/>
    </xf>
    <xf numFmtId="1" fontId="88" fillId="29" borderId="0" xfId="0" applyNumberFormat="1" applyFont="1" applyFill="1" applyAlignment="1">
      <alignment wrapText="1"/>
    </xf>
    <xf numFmtId="9" fontId="4" fillId="28" borderId="0" xfId="5871" applyFont="1" applyFill="1"/>
    <xf numFmtId="43" fontId="4" fillId="0" borderId="67" xfId="1" applyFont="1" applyFill="1" applyBorder="1" applyAlignment="1">
      <alignment horizontal="center" vertical="center" wrapText="1"/>
    </xf>
    <xf numFmtId="49" fontId="90" fillId="28" borderId="104" xfId="0" applyNumberFormat="1" applyFont="1" applyFill="1" applyBorder="1" applyAlignment="1">
      <alignment vertical="center"/>
    </xf>
    <xf numFmtId="49" fontId="90" fillId="28" borderId="106" xfId="0" applyNumberFormat="1" applyFont="1" applyFill="1" applyBorder="1" applyAlignment="1">
      <alignment vertical="center"/>
    </xf>
    <xf numFmtId="49" fontId="90" fillId="28" borderId="105" xfId="0" applyNumberFormat="1" applyFont="1" applyFill="1" applyBorder="1" applyAlignment="1">
      <alignment vertical="center"/>
    </xf>
    <xf numFmtId="0" fontId="90" fillId="0" borderId="0" xfId="0" applyFont="1" applyAlignment="1">
      <alignment horizontal="center" vertical="center"/>
    </xf>
    <xf numFmtId="165" fontId="90" fillId="0" borderId="0" xfId="0" applyNumberFormat="1" applyFont="1" applyAlignment="1">
      <alignment horizontal="center" vertical="center"/>
    </xf>
    <xf numFmtId="0" fontId="3" fillId="28" borderId="0" xfId="0" applyFont="1" applyFill="1" applyAlignment="1">
      <alignment horizontal="left" vertical="center"/>
    </xf>
    <xf numFmtId="2" fontId="75" fillId="28" borderId="0" xfId="0" applyNumberFormat="1" applyFont="1" applyFill="1" applyAlignment="1">
      <alignment horizontal="center" vertical="center"/>
    </xf>
    <xf numFmtId="2" fontId="74" fillId="28" borderId="0" xfId="0" applyNumberFormat="1" applyFont="1" applyFill="1" applyAlignment="1">
      <alignment horizontal="center" vertical="center"/>
    </xf>
    <xf numFmtId="0" fontId="52" fillId="0" borderId="0" xfId="0" applyFont="1" applyAlignment="1">
      <alignment horizontal="center" vertical="center"/>
    </xf>
    <xf numFmtId="0" fontId="90" fillId="0" borderId="0" xfId="0" applyFont="1" applyAlignment="1">
      <alignment vertical="center"/>
    </xf>
    <xf numFmtId="165" fontId="52" fillId="0" borderId="0" xfId="0" applyNumberFormat="1" applyFont="1" applyAlignment="1">
      <alignment horizontal="center" vertical="center"/>
    </xf>
    <xf numFmtId="8" fontId="52" fillId="0" borderId="0" xfId="0" applyNumberFormat="1" applyFont="1" applyAlignment="1">
      <alignment horizontal="center" vertical="center"/>
    </xf>
    <xf numFmtId="0" fontId="55" fillId="0" borderId="0" xfId="0" applyFont="1" applyAlignment="1">
      <alignment horizontal="left" vertical="center"/>
    </xf>
    <xf numFmtId="0" fontId="47" fillId="0" borderId="96" xfId="316" applyFont="1" applyBorder="1" applyAlignment="1">
      <alignment horizontal="left" vertical="center"/>
    </xf>
    <xf numFmtId="0" fontId="3" fillId="0" borderId="0" xfId="160" applyFont="1" applyAlignment="1">
      <alignment vertical="center"/>
    </xf>
    <xf numFmtId="0" fontId="3" fillId="0" borderId="96" xfId="316" applyFont="1" applyBorder="1" applyAlignment="1">
      <alignment horizontal="left" vertical="center"/>
    </xf>
    <xf numFmtId="0" fontId="53" fillId="0" borderId="0" xfId="0" applyFont="1" applyAlignment="1">
      <alignment vertical="center"/>
    </xf>
    <xf numFmtId="0" fontId="121" fillId="0" borderId="0" xfId="0" applyFont="1" applyAlignment="1">
      <alignment horizontal="left" vertical="center"/>
    </xf>
    <xf numFmtId="0" fontId="121" fillId="0" borderId="0" xfId="0" applyFont="1" applyAlignment="1">
      <alignment vertical="center"/>
    </xf>
    <xf numFmtId="0" fontId="28" fillId="0" borderId="0" xfId="0" applyFont="1" applyAlignment="1">
      <alignment vertical="center"/>
    </xf>
    <xf numFmtId="0" fontId="56" fillId="0" borderId="0" xfId="0" applyFont="1" applyAlignment="1">
      <alignment vertical="center"/>
    </xf>
    <xf numFmtId="0" fontId="48" fillId="0" borderId="0" xfId="0" applyFont="1" applyAlignment="1">
      <alignment vertical="center"/>
    </xf>
    <xf numFmtId="0" fontId="47" fillId="0" borderId="0" xfId="160" applyFont="1" applyAlignment="1" applyProtection="1">
      <alignment vertical="center"/>
      <protection locked="0"/>
    </xf>
    <xf numFmtId="0" fontId="3" fillId="0" borderId="0" xfId="160" applyFont="1" applyAlignment="1" applyProtection="1">
      <alignment vertical="center"/>
      <protection locked="0"/>
    </xf>
    <xf numFmtId="0" fontId="27" fillId="0" borderId="0" xfId="160" applyFont="1" applyAlignment="1" applyProtection="1">
      <alignment vertical="center"/>
      <protection locked="0"/>
    </xf>
    <xf numFmtId="0" fontId="52" fillId="0" borderId="0" xfId="160" applyFont="1" applyAlignment="1" applyProtection="1">
      <alignment horizontal="center" vertical="center"/>
      <protection locked="0"/>
    </xf>
    <xf numFmtId="188" fontId="58" fillId="0" borderId="120" xfId="160" applyNumberFormat="1" applyFont="1" applyBorder="1" applyAlignment="1">
      <alignment vertical="center" wrapText="1"/>
    </xf>
    <xf numFmtId="0" fontId="47" fillId="0" borderId="101" xfId="160" applyFont="1" applyBorder="1" applyAlignment="1" applyProtection="1">
      <alignment horizontal="center" vertical="center"/>
      <protection locked="0"/>
    </xf>
    <xf numFmtId="0" fontId="52" fillId="0" borderId="101" xfId="160" applyFont="1" applyBorder="1" applyAlignment="1" applyProtection="1">
      <alignment horizontal="center" vertical="center"/>
      <protection locked="0"/>
    </xf>
    <xf numFmtId="1" fontId="4" fillId="28" borderId="104" xfId="3052" applyNumberFormat="1" applyFont="1" applyFill="1" applyBorder="1" applyAlignment="1">
      <alignment horizontal="center" vertical="center" wrapText="1"/>
    </xf>
    <xf numFmtId="1" fontId="4" fillId="28" borderId="106" xfId="3052" applyNumberFormat="1" applyFont="1" applyFill="1" applyBorder="1" applyAlignment="1">
      <alignment horizontal="left" vertical="center" wrapText="1"/>
    </xf>
    <xf numFmtId="169" fontId="4" fillId="28" borderId="106" xfId="3052" applyNumberFormat="1" applyFont="1" applyFill="1" applyBorder="1" applyAlignment="1">
      <alignment horizontal="right" vertical="center" wrapText="1"/>
    </xf>
    <xf numFmtId="1" fontId="4" fillId="28" borderId="105" xfId="3052" applyNumberFormat="1" applyFont="1" applyFill="1" applyBorder="1" applyAlignment="1">
      <alignment horizontal="center" vertical="center" wrapText="1"/>
    </xf>
    <xf numFmtId="1" fontId="4" fillId="25" borderId="106" xfId="3052" applyNumberFormat="1" applyFont="1" applyFill="1" applyBorder="1" applyAlignment="1">
      <alignment horizontal="left" vertical="center" wrapText="1"/>
    </xf>
    <xf numFmtId="169" fontId="4" fillId="25" borderId="106" xfId="3052" applyNumberFormat="1" applyFont="1" applyFill="1" applyBorder="1" applyAlignment="1">
      <alignment horizontal="right" vertical="center" wrapText="1"/>
    </xf>
    <xf numFmtId="2" fontId="24" fillId="0" borderId="108" xfId="0" applyNumberFormat="1" applyFont="1" applyBorder="1" applyAlignment="1">
      <alignment horizontal="center" vertical="center"/>
    </xf>
    <xf numFmtId="0" fontId="24" fillId="0" borderId="109" xfId="0" applyFont="1" applyBorder="1"/>
    <xf numFmtId="4" fontId="148" fillId="0" borderId="109" xfId="0" applyNumberFormat="1" applyFont="1" applyBorder="1"/>
    <xf numFmtId="43" fontId="148" fillId="0" borderId="109" xfId="1" applyFont="1" applyBorder="1"/>
    <xf numFmtId="169" fontId="4" fillId="0" borderId="109" xfId="0" applyNumberFormat="1" applyFont="1" applyBorder="1"/>
    <xf numFmtId="43" fontId="24" fillId="0" borderId="109" xfId="1" applyFont="1" applyBorder="1"/>
    <xf numFmtId="169" fontId="24" fillId="0" borderId="109" xfId="0" applyNumberFormat="1" applyFont="1" applyBorder="1"/>
    <xf numFmtId="4" fontId="24" fillId="0" borderId="109" xfId="0" applyNumberFormat="1" applyFont="1" applyBorder="1"/>
    <xf numFmtId="43" fontId="24" fillId="0" borderId="110" xfId="1" applyFont="1" applyBorder="1"/>
    <xf numFmtId="43" fontId="4" fillId="28" borderId="10" xfId="1" applyFont="1" applyFill="1" applyBorder="1"/>
    <xf numFmtId="0" fontId="90" fillId="28" borderId="33" xfId="283" applyFont="1" applyFill="1" applyBorder="1" applyAlignment="1">
      <alignment horizontal="left" vertical="center" wrapText="1"/>
    </xf>
    <xf numFmtId="1" fontId="90" fillId="28" borderId="34" xfId="3032" applyNumberFormat="1" applyFont="1" applyFill="1" applyBorder="1" applyAlignment="1">
      <alignment horizontal="right" vertical="center" wrapText="1"/>
    </xf>
    <xf numFmtId="1" fontId="90" fillId="28" borderId="35" xfId="3032" applyNumberFormat="1" applyFont="1" applyFill="1" applyBorder="1" applyAlignment="1">
      <alignment horizontal="center" vertical="center" wrapText="1"/>
    </xf>
    <xf numFmtId="2" fontId="90" fillId="28" borderId="32" xfId="3032" applyNumberFormat="1" applyFont="1" applyFill="1" applyBorder="1" applyAlignment="1">
      <alignment horizontal="left" vertical="center" wrapText="1"/>
    </xf>
    <xf numFmtId="0" fontId="90" fillId="28" borderId="33" xfId="3032" applyFont="1" applyFill="1" applyBorder="1" applyAlignment="1">
      <alignment horizontal="center" vertical="center" wrapText="1"/>
    </xf>
    <xf numFmtId="43" fontId="90" fillId="28" borderId="34" xfId="1" applyFont="1" applyFill="1" applyBorder="1" applyAlignment="1">
      <alignment horizontal="center" vertical="center" wrapText="1"/>
    </xf>
    <xf numFmtId="43" fontId="90" fillId="28" borderId="33" xfId="1" applyFont="1" applyFill="1" applyBorder="1" applyAlignment="1">
      <alignment horizontal="center" vertical="center" wrapText="1"/>
    </xf>
    <xf numFmtId="43" fontId="90" fillId="28" borderId="32" xfId="1" applyFont="1" applyFill="1" applyBorder="1" applyAlignment="1">
      <alignment horizontal="center" vertical="center" wrapText="1"/>
    </xf>
    <xf numFmtId="43" fontId="90" fillId="28" borderId="35" xfId="1" applyFont="1" applyFill="1" applyBorder="1" applyAlignment="1">
      <alignment horizontal="center" vertical="center" wrapText="1"/>
    </xf>
    <xf numFmtId="43" fontId="90" fillId="28" borderId="34" xfId="1" applyFont="1" applyFill="1" applyBorder="1" applyAlignment="1">
      <alignment horizontal="center" vertical="distributed" wrapText="1"/>
    </xf>
    <xf numFmtId="192" fontId="90" fillId="28" borderId="33" xfId="3032" applyNumberFormat="1" applyFont="1" applyFill="1" applyBorder="1" applyAlignment="1">
      <alignment horizontal="center" vertical="center" wrapText="1"/>
    </xf>
    <xf numFmtId="43" fontId="90" fillId="28" borderId="33" xfId="1" applyFont="1" applyFill="1" applyBorder="1" applyAlignment="1">
      <alignment horizontal="center" vertical="distributed" wrapText="1"/>
    </xf>
    <xf numFmtId="174" fontId="90" fillId="28" borderId="33" xfId="1" applyNumberFormat="1" applyFont="1" applyFill="1" applyBorder="1" applyAlignment="1">
      <alignment horizontal="center" vertical="distributed" wrapText="1"/>
    </xf>
    <xf numFmtId="0" fontId="90" fillId="28" borderId="37" xfId="283" applyFont="1" applyFill="1" applyBorder="1" applyAlignment="1">
      <alignment horizontal="left" vertical="center" wrapText="1"/>
    </xf>
    <xf numFmtId="174" fontId="90" fillId="28" borderId="37" xfId="1" applyNumberFormat="1" applyFont="1" applyFill="1" applyBorder="1" applyAlignment="1">
      <alignment horizontal="center" vertical="distributed" wrapText="1"/>
    </xf>
    <xf numFmtId="2" fontId="90" fillId="28" borderId="37" xfId="3032" applyNumberFormat="1" applyFont="1" applyFill="1" applyBorder="1" applyAlignment="1">
      <alignment horizontal="center" vertical="distributed" wrapText="1"/>
    </xf>
    <xf numFmtId="2" fontId="152" fillId="29" borderId="105" xfId="3032" applyNumberFormat="1" applyFont="1" applyFill="1" applyBorder="1" applyAlignment="1">
      <alignment horizontal="center" vertical="distributed" wrapText="1"/>
    </xf>
    <xf numFmtId="169" fontId="152" fillId="29" borderId="105" xfId="3032" applyNumberFormat="1" applyFont="1" applyFill="1" applyBorder="1" applyAlignment="1">
      <alignment horizontal="center" vertical="center" wrapText="1"/>
    </xf>
    <xf numFmtId="169" fontId="152" fillId="29" borderId="107" xfId="1" applyNumberFormat="1" applyFont="1" applyFill="1" applyBorder="1" applyAlignment="1">
      <alignment horizontal="center" vertical="center" wrapText="1"/>
    </xf>
    <xf numFmtId="169" fontId="152" fillId="29" borderId="107" xfId="3032" applyNumberFormat="1" applyFont="1" applyFill="1" applyBorder="1" applyAlignment="1">
      <alignment horizontal="center" vertical="center" wrapText="1"/>
    </xf>
    <xf numFmtId="0" fontId="53" fillId="0" borderId="106" xfId="0" applyFont="1" applyBorder="1" applyAlignment="1">
      <alignment vertical="center" wrapText="1"/>
    </xf>
    <xf numFmtId="0" fontId="152" fillId="0" borderId="106" xfId="0" applyFont="1" applyBorder="1" applyAlignment="1">
      <alignment horizontal="right" vertical="center" wrapText="1"/>
    </xf>
    <xf numFmtId="0" fontId="152" fillId="0" borderId="106" xfId="0" applyFont="1" applyBorder="1" applyAlignment="1">
      <alignment horizontal="center" vertical="center" wrapText="1"/>
    </xf>
    <xf numFmtId="10" fontId="152" fillId="0" borderId="106" xfId="3032" applyNumberFormat="1" applyFont="1" applyBorder="1" applyAlignment="1">
      <alignment horizontal="right" vertical="center" wrapText="1"/>
    </xf>
    <xf numFmtId="10" fontId="152" fillId="0" borderId="106" xfId="3032" applyNumberFormat="1" applyFont="1" applyBorder="1" applyAlignment="1">
      <alignment horizontal="center" vertical="center" wrapText="1"/>
    </xf>
    <xf numFmtId="171" fontId="152" fillId="0" borderId="106" xfId="3032" applyNumberFormat="1" applyFont="1" applyBorder="1" applyAlignment="1">
      <alignment horizontal="center" vertical="center" wrapText="1"/>
    </xf>
    <xf numFmtId="0" fontId="152" fillId="0" borderId="106" xfId="3032" applyFont="1" applyBorder="1" applyAlignment="1">
      <alignment horizontal="center" vertical="center" wrapText="1"/>
    </xf>
    <xf numFmtId="169" fontId="152" fillId="0" borderId="106" xfId="1" applyNumberFormat="1" applyFont="1" applyFill="1" applyBorder="1" applyAlignment="1">
      <alignment horizontal="center" vertical="center" wrapText="1"/>
    </xf>
    <xf numFmtId="169" fontId="152" fillId="0" borderId="106" xfId="3032" applyNumberFormat="1" applyFont="1" applyBorder="1" applyAlignment="1">
      <alignment horizontal="center" vertical="center" wrapText="1"/>
    </xf>
    <xf numFmtId="0" fontId="90" fillId="0" borderId="106" xfId="3032" applyFont="1" applyBorder="1" applyAlignment="1">
      <alignment wrapText="1"/>
    </xf>
    <xf numFmtId="0" fontId="53" fillId="28" borderId="107" xfId="3032" applyFont="1" applyFill="1" applyBorder="1" applyAlignment="1">
      <alignment horizontal="center" wrapText="1"/>
    </xf>
    <xf numFmtId="0" fontId="53" fillId="28" borderId="92" xfId="3032" applyFont="1" applyFill="1" applyBorder="1" applyAlignment="1">
      <alignment horizontal="center" vertical="top" wrapText="1"/>
    </xf>
    <xf numFmtId="43" fontId="90" fillId="28" borderId="32" xfId="1" applyFont="1" applyFill="1" applyBorder="1" applyAlignment="1">
      <alignment horizontal="center" vertical="distributed" wrapText="1"/>
    </xf>
    <xf numFmtId="174" fontId="90" fillId="28" borderId="32" xfId="1" applyNumberFormat="1" applyFont="1" applyFill="1" applyBorder="1" applyAlignment="1">
      <alignment horizontal="center" vertical="distributed" wrapText="1"/>
    </xf>
    <xf numFmtId="174" fontId="90" fillId="28" borderId="45" xfId="1" applyNumberFormat="1" applyFont="1" applyFill="1" applyBorder="1" applyAlignment="1">
      <alignment horizontal="center" vertical="distributed" wrapText="1"/>
    </xf>
    <xf numFmtId="169" fontId="90" fillId="28" borderId="32" xfId="1" applyNumberFormat="1" applyFont="1" applyFill="1" applyBorder="1" applyAlignment="1">
      <alignment horizontal="center" vertical="distributed" wrapText="1"/>
    </xf>
    <xf numFmtId="169" fontId="90" fillId="28" borderId="32" xfId="3032" applyNumberFormat="1" applyFont="1" applyFill="1" applyBorder="1" applyAlignment="1">
      <alignment horizontal="center" vertical="distributed" wrapText="1"/>
    </xf>
    <xf numFmtId="0" fontId="53" fillId="25" borderId="106" xfId="0" applyFont="1" applyFill="1" applyBorder="1" applyAlignment="1">
      <alignment vertical="center"/>
    </xf>
    <xf numFmtId="1" fontId="114" fillId="25" borderId="106" xfId="0" applyNumberFormat="1" applyFont="1" applyFill="1" applyBorder="1" applyAlignment="1">
      <alignment horizontal="right" vertical="center"/>
    </xf>
    <xf numFmtId="169" fontId="114" fillId="25" borderId="106" xfId="0" applyNumberFormat="1" applyFont="1" applyFill="1" applyBorder="1" applyAlignment="1">
      <alignment horizontal="right" vertical="center"/>
    </xf>
    <xf numFmtId="0" fontId="104" fillId="25" borderId="106" xfId="0" applyFont="1" applyFill="1" applyBorder="1" applyAlignment="1">
      <alignment horizontal="right" vertical="center"/>
    </xf>
    <xf numFmtId="1" fontId="148" fillId="0" borderId="45" xfId="3043" applyNumberFormat="1" applyFont="1" applyBorder="1" applyAlignment="1">
      <alignment horizontal="center" vertical="center" wrapText="1"/>
    </xf>
    <xf numFmtId="1" fontId="3" fillId="26" borderId="106" xfId="0" applyNumberFormat="1" applyFont="1" applyFill="1" applyBorder="1" applyAlignment="1">
      <alignment vertical="center"/>
    </xf>
    <xf numFmtId="0" fontId="3" fillId="26" borderId="106" xfId="0" applyFont="1" applyFill="1" applyBorder="1" applyAlignment="1">
      <alignment vertical="center"/>
    </xf>
    <xf numFmtId="0" fontId="47" fillId="0" borderId="0" xfId="160" applyFont="1" applyAlignment="1" applyProtection="1">
      <alignment horizontal="center" vertical="center"/>
      <protection locked="0"/>
    </xf>
    <xf numFmtId="0" fontId="53" fillId="0" borderId="104" xfId="0" applyFont="1" applyBorder="1" applyAlignment="1">
      <alignment vertical="center"/>
    </xf>
    <xf numFmtId="0" fontId="53" fillId="0" borderId="106" xfId="0" applyFont="1" applyBorder="1" applyAlignment="1">
      <alignment vertical="center"/>
    </xf>
    <xf numFmtId="0" fontId="53" fillId="0" borderId="105" xfId="0" applyFont="1" applyBorder="1" applyAlignment="1">
      <alignment vertical="center"/>
    </xf>
    <xf numFmtId="0" fontId="48" fillId="0" borderId="0" xfId="160" applyFont="1" applyAlignment="1">
      <alignment horizontal="left" vertical="center"/>
    </xf>
    <xf numFmtId="0" fontId="90" fillId="0" borderId="0" xfId="0" applyFont="1" applyAlignment="1">
      <alignment horizontal="left" vertical="center"/>
    </xf>
    <xf numFmtId="1" fontId="28" fillId="0" borderId="108" xfId="0" applyNumberFormat="1" applyFont="1" applyBorder="1" applyAlignment="1">
      <alignment vertical="center" wrapText="1"/>
    </xf>
    <xf numFmtId="0" fontId="28" fillId="0" borderId="109" xfId="0" applyFont="1" applyBorder="1" applyAlignment="1">
      <alignment vertical="center" wrapText="1"/>
    </xf>
    <xf numFmtId="0" fontId="151" fillId="0" borderId="109" xfId="0" applyFont="1" applyBorder="1" applyAlignment="1">
      <alignment horizontal="right" vertical="center" wrapText="1"/>
    </xf>
    <xf numFmtId="0" fontId="151" fillId="0" borderId="109" xfId="0" applyFont="1" applyBorder="1" applyAlignment="1">
      <alignment horizontal="center" vertical="center" wrapText="1"/>
    </xf>
    <xf numFmtId="10" fontId="151" fillId="0" borderId="109" xfId="3032" applyNumberFormat="1" applyFont="1" applyBorder="1" applyAlignment="1">
      <alignment horizontal="right" vertical="center" wrapText="1"/>
    </xf>
    <xf numFmtId="10" fontId="151" fillId="0" borderId="109" xfId="3032" applyNumberFormat="1" applyFont="1" applyBorder="1" applyAlignment="1">
      <alignment horizontal="center" vertical="center" wrapText="1"/>
    </xf>
    <xf numFmtId="171" fontId="151" fillId="0" borderId="109" xfId="3032" applyNumberFormat="1" applyFont="1" applyBorder="1" applyAlignment="1">
      <alignment horizontal="center" vertical="center" wrapText="1"/>
    </xf>
    <xf numFmtId="0" fontId="151" fillId="0" borderId="109" xfId="3032" applyFont="1" applyBorder="1" applyAlignment="1">
      <alignment horizontal="center" vertical="center" wrapText="1"/>
    </xf>
    <xf numFmtId="169" fontId="151" fillId="0" borderId="109" xfId="1" applyNumberFormat="1" applyFont="1" applyFill="1" applyBorder="1" applyAlignment="1">
      <alignment horizontal="center" vertical="center" wrapText="1"/>
    </xf>
    <xf numFmtId="169" fontId="151" fillId="0" borderId="109" xfId="3032" applyNumberFormat="1" applyFont="1" applyBorder="1" applyAlignment="1">
      <alignment horizontal="center" vertical="center" wrapText="1"/>
    </xf>
    <xf numFmtId="0" fontId="3" fillId="0" borderId="109" xfId="3032" applyFont="1" applyBorder="1" applyAlignment="1">
      <alignment wrapText="1"/>
    </xf>
    <xf numFmtId="0" fontId="3" fillId="0" borderId="110" xfId="3032" applyFont="1" applyBorder="1" applyAlignment="1">
      <alignment wrapText="1"/>
    </xf>
    <xf numFmtId="0" fontId="3" fillId="0" borderId="122" xfId="3032" applyFont="1" applyBorder="1" applyAlignment="1">
      <alignment wrapText="1"/>
    </xf>
    <xf numFmtId="0" fontId="4" fillId="0" borderId="122" xfId="3032" applyBorder="1"/>
    <xf numFmtId="0" fontId="26" fillId="0" borderId="0" xfId="3032" applyFont="1"/>
    <xf numFmtId="0" fontId="27" fillId="0" borderId="0" xfId="3032" applyFont="1"/>
    <xf numFmtId="49" fontId="27" fillId="28" borderId="0" xfId="3032" applyNumberFormat="1" applyFont="1" applyFill="1" applyAlignment="1">
      <alignment horizontal="left" vertical="center"/>
    </xf>
    <xf numFmtId="14" fontId="27" fillId="28" borderId="0" xfId="430" applyNumberFormat="1" applyFont="1" applyFill="1" applyAlignment="1">
      <alignment horizontal="left" vertical="center"/>
    </xf>
    <xf numFmtId="0" fontId="29" fillId="0" borderId="0" xfId="430" applyFont="1" applyAlignment="1">
      <alignment vertical="center"/>
    </xf>
    <xf numFmtId="0" fontId="29" fillId="0" borderId="122" xfId="430" applyFont="1" applyBorder="1" applyAlignment="1">
      <alignment vertical="center"/>
    </xf>
    <xf numFmtId="0" fontId="3" fillId="26" borderId="105" xfId="0" applyFont="1" applyFill="1" applyBorder="1" applyAlignment="1">
      <alignment vertical="center"/>
    </xf>
    <xf numFmtId="0" fontId="27" fillId="25" borderId="93" xfId="0" applyFont="1" applyFill="1" applyBorder="1" applyAlignment="1">
      <alignment vertical="center"/>
    </xf>
    <xf numFmtId="0" fontId="53" fillId="28" borderId="0" xfId="0" applyFont="1" applyFill="1" applyAlignment="1">
      <alignment vertical="center" wrapText="1"/>
    </xf>
    <xf numFmtId="0" fontId="90" fillId="0" borderId="0" xfId="3032" applyFont="1" applyAlignment="1">
      <alignment wrapText="1"/>
    </xf>
    <xf numFmtId="0" fontId="53" fillId="28" borderId="122" xfId="0" applyFont="1" applyFill="1" applyBorder="1" applyAlignment="1">
      <alignment vertical="center" wrapText="1"/>
    </xf>
    <xf numFmtId="0" fontId="53" fillId="28" borderId="93" xfId="0" applyFont="1" applyFill="1" applyBorder="1" applyAlignment="1">
      <alignment vertical="center" wrapText="1"/>
    </xf>
    <xf numFmtId="0" fontId="90" fillId="0" borderId="93" xfId="3032" applyFont="1" applyBorder="1" applyAlignment="1">
      <alignment wrapText="1"/>
    </xf>
    <xf numFmtId="0" fontId="104" fillId="25" borderId="109" xfId="0" applyFont="1" applyFill="1" applyBorder="1" applyAlignment="1">
      <alignment vertical="center"/>
    </xf>
    <xf numFmtId="0" fontId="27" fillId="25" borderId="110" xfId="0" applyFont="1" applyFill="1" applyBorder="1" applyAlignment="1">
      <alignment vertical="center"/>
    </xf>
    <xf numFmtId="0" fontId="3" fillId="0" borderId="0" xfId="3032" applyFont="1" applyAlignment="1">
      <alignment wrapText="1"/>
    </xf>
    <xf numFmtId="0" fontId="28" fillId="28" borderId="122" xfId="0" applyFont="1" applyFill="1" applyBorder="1" applyAlignment="1">
      <alignment vertical="center" wrapText="1"/>
    </xf>
    <xf numFmtId="169" fontId="150" fillId="26" borderId="105" xfId="0" applyNumberFormat="1" applyFont="1" applyFill="1" applyBorder="1" applyAlignment="1">
      <alignment horizontal="right" vertical="center"/>
    </xf>
    <xf numFmtId="0" fontId="27" fillId="25" borderId="122" xfId="0" applyFont="1" applyFill="1" applyBorder="1" applyAlignment="1">
      <alignment vertical="center"/>
    </xf>
    <xf numFmtId="43" fontId="4" fillId="0" borderId="125" xfId="1" applyFont="1" applyBorder="1" applyAlignment="1">
      <alignment horizontal="center" vertical="center" wrapText="1"/>
    </xf>
    <xf numFmtId="2" fontId="148" fillId="0" borderId="126" xfId="0" applyNumberFormat="1" applyFont="1" applyBorder="1" applyAlignment="1">
      <alignment horizontal="center" vertical="center"/>
    </xf>
    <xf numFmtId="1" fontId="148" fillId="0" borderId="126" xfId="3043" applyNumberFormat="1" applyFont="1" applyBorder="1" applyAlignment="1">
      <alignment horizontal="center" vertical="center"/>
    </xf>
    <xf numFmtId="0" fontId="61" fillId="0" borderId="126" xfId="3042" applyFont="1" applyBorder="1" applyAlignment="1">
      <alignment horizontal="justify" vertical="center" wrapText="1"/>
    </xf>
    <xf numFmtId="0" fontId="0" fillId="25" borderId="0" xfId="0" applyFill="1" applyAlignment="1">
      <alignment vertical="center"/>
    </xf>
    <xf numFmtId="0" fontId="0" fillId="28" borderId="0" xfId="0" applyFill="1" applyAlignment="1">
      <alignment vertical="center"/>
    </xf>
    <xf numFmtId="0" fontId="111" fillId="25" borderId="0" xfId="0" applyFont="1" applyFill="1" applyAlignment="1">
      <alignment vertical="center"/>
    </xf>
    <xf numFmtId="0" fontId="112" fillId="25" borderId="0" xfId="0" applyFont="1" applyFill="1" applyAlignment="1">
      <alignment vertical="center"/>
    </xf>
    <xf numFmtId="0" fontId="0" fillId="0" borderId="0" xfId="0" applyAlignment="1">
      <alignment vertical="center"/>
    </xf>
    <xf numFmtId="0" fontId="106" fillId="0" borderId="0" xfId="0" applyFont="1" applyAlignment="1">
      <alignment vertical="center"/>
    </xf>
    <xf numFmtId="0" fontId="86" fillId="0" borderId="109" xfId="0" applyFont="1" applyBorder="1" applyAlignment="1">
      <alignment horizontal="center" vertical="center"/>
    </xf>
    <xf numFmtId="0" fontId="86" fillId="0" borderId="109" xfId="0" applyFont="1" applyBorder="1" applyAlignment="1">
      <alignment horizontal="center" vertical="center" wrapText="1"/>
    </xf>
    <xf numFmtId="0" fontId="0" fillId="0" borderId="0" xfId="0" applyAlignment="1">
      <alignment vertical="center" wrapText="1"/>
    </xf>
    <xf numFmtId="0" fontId="0" fillId="32" borderId="0" xfId="0" applyFill="1" applyAlignment="1">
      <alignment vertical="center"/>
    </xf>
    <xf numFmtId="0" fontId="0" fillId="32" borderId="0" xfId="0" applyFill="1" applyAlignment="1">
      <alignment vertical="center" wrapText="1"/>
    </xf>
    <xf numFmtId="0" fontId="74" fillId="0" borderId="96" xfId="0" applyFont="1" applyBorder="1" applyAlignment="1">
      <alignment horizontal="left" vertical="center" wrapText="1"/>
    </xf>
    <xf numFmtId="0" fontId="119" fillId="0" borderId="101" xfId="0" applyFont="1" applyBorder="1" applyAlignment="1">
      <alignment vertical="center"/>
    </xf>
    <xf numFmtId="0" fontId="58" fillId="0" borderId="103" xfId="0" applyFont="1" applyBorder="1" applyAlignment="1">
      <alignment vertical="center"/>
    </xf>
    <xf numFmtId="4" fontId="24" fillId="0" borderId="0" xfId="0" applyNumberFormat="1" applyFont="1" applyAlignment="1">
      <alignment horizontal="left" vertical="center"/>
    </xf>
    <xf numFmtId="1" fontId="4" fillId="28" borderId="108" xfId="3052" applyNumberFormat="1" applyFont="1" applyFill="1" applyBorder="1" applyAlignment="1">
      <alignment horizontal="center" vertical="center" wrapText="1"/>
    </xf>
    <xf numFmtId="1" fontId="4" fillId="28" borderId="109" xfId="3052" applyNumberFormat="1" applyFont="1" applyFill="1" applyBorder="1" applyAlignment="1">
      <alignment horizontal="left" vertical="center" wrapText="1"/>
    </xf>
    <xf numFmtId="169" fontId="4" fillId="28" borderId="109" xfId="3052" applyNumberFormat="1" applyFont="1" applyFill="1" applyBorder="1" applyAlignment="1">
      <alignment horizontal="right" vertical="center" wrapText="1"/>
    </xf>
    <xf numFmtId="1" fontId="4" fillId="28" borderId="110" xfId="3052" applyNumberFormat="1" applyFont="1" applyFill="1" applyBorder="1" applyAlignment="1">
      <alignment horizontal="center" vertical="center" wrapText="1"/>
    </xf>
    <xf numFmtId="1" fontId="4" fillId="28" borderId="93" xfId="3052" applyNumberFormat="1" applyFont="1" applyFill="1" applyBorder="1" applyAlignment="1">
      <alignment horizontal="left" vertical="center" wrapText="1"/>
    </xf>
    <xf numFmtId="169" fontId="4" fillId="28" borderId="93" xfId="3052" applyNumberFormat="1" applyFont="1" applyFill="1" applyBorder="1" applyAlignment="1">
      <alignment horizontal="right" vertical="center" wrapText="1"/>
    </xf>
    <xf numFmtId="0" fontId="53" fillId="0" borderId="108" xfId="0" applyFont="1" applyBorder="1" applyAlignment="1">
      <alignment vertical="center"/>
    </xf>
    <xf numFmtId="0" fontId="53" fillId="0" borderId="109" xfId="0" applyFont="1" applyBorder="1" applyAlignment="1">
      <alignment vertical="center"/>
    </xf>
    <xf numFmtId="0" fontId="53" fillId="0" borderId="95" xfId="0" applyFont="1" applyBorder="1" applyAlignment="1">
      <alignment vertical="center"/>
    </xf>
    <xf numFmtId="0" fontId="53" fillId="0" borderId="93" xfId="0" applyFont="1" applyBorder="1" applyAlignment="1">
      <alignment vertical="center"/>
    </xf>
    <xf numFmtId="188" fontId="58" fillId="0" borderId="102" xfId="160" applyNumberFormat="1" applyFont="1" applyBorder="1" applyAlignment="1">
      <alignment vertical="center" wrapText="1"/>
    </xf>
    <xf numFmtId="0" fontId="53" fillId="0" borderId="112" xfId="0" applyFont="1" applyBorder="1" applyAlignment="1">
      <alignment vertical="center"/>
    </xf>
    <xf numFmtId="49" fontId="104" fillId="0" borderId="0" xfId="0" applyNumberFormat="1" applyFont="1" applyAlignment="1">
      <alignment vertical="center"/>
    </xf>
    <xf numFmtId="2" fontId="90" fillId="0" borderId="93" xfId="0" applyNumberFormat="1" applyFont="1" applyBorder="1" applyAlignment="1">
      <alignment vertical="center"/>
    </xf>
    <xf numFmtId="2" fontId="61" fillId="28" borderId="0" xfId="3032" applyNumberFormat="1" applyFont="1" applyFill="1" applyAlignment="1">
      <alignment horizontal="center" vertical="center"/>
    </xf>
    <xf numFmtId="49" fontId="90" fillId="28" borderId="33" xfId="283" applyNumberFormat="1" applyFont="1" applyFill="1" applyBorder="1" applyAlignment="1">
      <alignment horizontal="center" vertical="center" wrapText="1"/>
    </xf>
    <xf numFmtId="0" fontId="90" fillId="28" borderId="33" xfId="3032" applyFont="1" applyFill="1" applyBorder="1" applyAlignment="1">
      <alignment horizontal="left" vertical="distributed" wrapText="1"/>
    </xf>
    <xf numFmtId="0" fontId="61" fillId="28" borderId="0" xfId="3032" applyFont="1" applyFill="1" applyAlignment="1">
      <alignment horizontal="center"/>
    </xf>
    <xf numFmtId="1" fontId="61" fillId="28" borderId="0" xfId="3032" applyNumberFormat="1" applyFont="1" applyFill="1" applyAlignment="1">
      <alignment horizontal="center"/>
    </xf>
    <xf numFmtId="0" fontId="61" fillId="33" borderId="0" xfId="3032" applyFont="1" applyFill="1" applyAlignment="1">
      <alignment horizontal="center"/>
    </xf>
    <xf numFmtId="2" fontId="61" fillId="28" borderId="0" xfId="3032" applyNumberFormat="1" applyFont="1" applyFill="1"/>
    <xf numFmtId="0" fontId="61" fillId="28" borderId="0" xfId="3032" applyFont="1" applyFill="1"/>
    <xf numFmtId="17" fontId="90" fillId="28" borderId="33" xfId="283" applyNumberFormat="1" applyFont="1" applyFill="1" applyBorder="1" applyAlignment="1">
      <alignment horizontal="left" vertical="center" wrapText="1"/>
    </xf>
    <xf numFmtId="2" fontId="61" fillId="0" borderId="0" xfId="3032" applyNumberFormat="1" applyFont="1" applyAlignment="1">
      <alignment horizontal="center" vertical="center"/>
    </xf>
    <xf numFmtId="0" fontId="61" fillId="0" borderId="0" xfId="3032" applyFont="1" applyAlignment="1">
      <alignment horizontal="center"/>
    </xf>
    <xf numFmtId="1" fontId="61" fillId="0" borderId="0" xfId="3032" applyNumberFormat="1" applyFont="1" applyAlignment="1">
      <alignment horizontal="center"/>
    </xf>
    <xf numFmtId="0" fontId="61" fillId="0" borderId="0" xfId="3032" applyFont="1"/>
    <xf numFmtId="2" fontId="152" fillId="29" borderId="94" xfId="3032" applyNumberFormat="1" applyFont="1" applyFill="1" applyBorder="1" applyAlignment="1">
      <alignment horizontal="center" vertical="distributed" wrapText="1"/>
    </xf>
    <xf numFmtId="169" fontId="152" fillId="29" borderId="92" xfId="1" applyNumberFormat="1" applyFont="1" applyFill="1" applyBorder="1" applyAlignment="1">
      <alignment horizontal="center" vertical="center" wrapText="1"/>
    </xf>
    <xf numFmtId="169" fontId="152" fillId="29" borderId="94" xfId="3032" applyNumberFormat="1" applyFont="1" applyFill="1" applyBorder="1" applyAlignment="1">
      <alignment horizontal="center" vertical="center" wrapText="1"/>
    </xf>
    <xf numFmtId="192" fontId="3" fillId="28" borderId="37" xfId="3032" applyNumberFormat="1" applyFont="1" applyFill="1" applyBorder="1" applyAlignment="1">
      <alignment horizontal="center" vertical="center" wrapText="1"/>
    </xf>
    <xf numFmtId="49" fontId="90" fillId="28" borderId="30" xfId="283" applyNumberFormat="1" applyFont="1" applyFill="1" applyBorder="1" applyAlignment="1">
      <alignment horizontal="center" vertical="center" wrapText="1"/>
    </xf>
    <xf numFmtId="1" fontId="4" fillId="28" borderId="121" xfId="3052" applyNumberFormat="1" applyFont="1" applyFill="1" applyBorder="1" applyAlignment="1">
      <alignment horizontal="center" vertical="center" wrapText="1"/>
    </xf>
    <xf numFmtId="1" fontId="4" fillId="28" borderId="122" xfId="3052" applyNumberFormat="1" applyFont="1" applyFill="1" applyBorder="1" applyAlignment="1">
      <alignment horizontal="center" vertical="center" wrapText="1"/>
    </xf>
    <xf numFmtId="1" fontId="4" fillId="28" borderId="95" xfId="3052" applyNumberFormat="1" applyFont="1" applyFill="1" applyBorder="1" applyAlignment="1">
      <alignment horizontal="center" vertical="center" wrapText="1"/>
    </xf>
    <xf numFmtId="1" fontId="4" fillId="28" borderId="94" xfId="3052" applyNumberFormat="1" applyFont="1" applyFill="1" applyBorder="1" applyAlignment="1">
      <alignment horizontal="center" vertical="center" wrapText="1"/>
    </xf>
    <xf numFmtId="0" fontId="58" fillId="0" borderId="0" xfId="0" applyFont="1" applyAlignment="1">
      <alignment vertical="center"/>
    </xf>
    <xf numFmtId="0" fontId="52" fillId="28" borderId="127" xfId="0" applyFont="1" applyFill="1" applyBorder="1" applyAlignment="1">
      <alignment vertical="center"/>
    </xf>
    <xf numFmtId="188" fontId="116" fillId="0" borderId="0" xfId="160" applyNumberFormat="1" applyFont="1" applyAlignment="1">
      <alignment vertical="center" wrapText="1"/>
    </xf>
    <xf numFmtId="0" fontId="117" fillId="28" borderId="103" xfId="0" applyFont="1" applyFill="1" applyBorder="1" applyAlignment="1">
      <alignment horizontal="right" vertical="center"/>
    </xf>
    <xf numFmtId="0" fontId="52" fillId="28" borderId="93" xfId="0" applyFont="1" applyFill="1" applyBorder="1" applyAlignment="1">
      <alignment vertical="center"/>
    </xf>
    <xf numFmtId="0" fontId="90" fillId="28" borderId="0" xfId="0" applyFont="1" applyFill="1" applyAlignment="1">
      <alignment horizontal="justify" vertical="center" wrapText="1"/>
    </xf>
    <xf numFmtId="0" fontId="53" fillId="28" borderId="0" xfId="0" applyFont="1" applyFill="1" applyAlignment="1">
      <alignment horizontal="center" vertical="center"/>
    </xf>
    <xf numFmtId="0" fontId="74" fillId="28" borderId="0" xfId="0" applyFont="1" applyFill="1" applyAlignment="1">
      <alignment horizontal="left" vertical="center" wrapText="1"/>
    </xf>
    <xf numFmtId="0" fontId="24" fillId="25" borderId="0" xfId="0" applyFont="1" applyFill="1" applyAlignment="1">
      <alignment horizontal="left" vertical="center"/>
    </xf>
    <xf numFmtId="0" fontId="24" fillId="25" borderId="0" xfId="0" applyFont="1" applyFill="1" applyAlignment="1">
      <alignment horizontal="left"/>
    </xf>
    <xf numFmtId="0" fontId="4" fillId="29" borderId="121" xfId="439" applyFill="1" applyBorder="1"/>
    <xf numFmtId="0" fontId="4" fillId="29" borderId="122" xfId="439" applyFill="1" applyBorder="1"/>
    <xf numFmtId="0" fontId="3" fillId="29" borderId="122" xfId="439" applyFont="1" applyFill="1" applyBorder="1"/>
    <xf numFmtId="0" fontId="99" fillId="29" borderId="122" xfId="439" applyFont="1" applyFill="1" applyBorder="1" applyAlignment="1">
      <alignment vertical="center"/>
    </xf>
    <xf numFmtId="0" fontId="4" fillId="29" borderId="95" xfId="439" applyFill="1" applyBorder="1"/>
    <xf numFmtId="0" fontId="4" fillId="29" borderId="93" xfId="439" applyFill="1" applyBorder="1"/>
    <xf numFmtId="165" fontId="4" fillId="29" borderId="93" xfId="439" applyNumberFormat="1" applyFill="1" applyBorder="1"/>
    <xf numFmtId="165" fontId="4" fillId="29" borderId="94" xfId="439" applyNumberFormat="1" applyFill="1" applyBorder="1"/>
    <xf numFmtId="2" fontId="5" fillId="36" borderId="96" xfId="439" applyNumberFormat="1" applyFont="1" applyFill="1" applyBorder="1" applyAlignment="1" applyProtection="1">
      <alignment horizontal="center" vertical="center"/>
      <protection hidden="1"/>
    </xf>
    <xf numFmtId="197" fontId="4" fillId="0" borderId="96" xfId="439" applyNumberFormat="1" applyBorder="1" applyAlignment="1" applyProtection="1">
      <alignment horizontal="center" vertical="center"/>
      <protection hidden="1"/>
    </xf>
    <xf numFmtId="10" fontId="101" fillId="0" borderId="96" xfId="439" applyNumberFormat="1" applyFont="1" applyBorder="1" applyAlignment="1" applyProtection="1">
      <alignment horizontal="right" vertical="center" wrapText="1"/>
      <protection hidden="1"/>
    </xf>
    <xf numFmtId="10" fontId="102" fillId="0" borderId="96" xfId="439" applyNumberFormat="1" applyFont="1" applyBorder="1" applyAlignment="1" applyProtection="1">
      <alignment horizontal="right" vertical="center" wrapText="1"/>
      <protection hidden="1"/>
    </xf>
    <xf numFmtId="0" fontId="6" fillId="0" borderId="73" xfId="0" applyFont="1" applyBorder="1" applyAlignment="1">
      <alignment horizontal="center"/>
    </xf>
    <xf numFmtId="14" fontId="6" fillId="0" borderId="63" xfId="0" applyNumberFormat="1" applyFont="1" applyBorder="1" applyAlignment="1">
      <alignment horizontal="center"/>
    </xf>
    <xf numFmtId="0" fontId="6" fillId="0" borderId="66" xfId="0" applyFont="1" applyBorder="1" applyAlignment="1">
      <alignment horizontal="center"/>
    </xf>
    <xf numFmtId="4" fontId="6" fillId="0" borderId="66" xfId="0" applyNumberFormat="1" applyFont="1" applyBorder="1" applyAlignment="1">
      <alignment horizontal="center"/>
    </xf>
    <xf numFmtId="189" fontId="6" fillId="0" borderId="66" xfId="0" applyNumberFormat="1" applyFont="1" applyBorder="1" applyAlignment="1">
      <alignment horizontal="center"/>
    </xf>
    <xf numFmtId="4" fontId="6" fillId="0" borderId="74" xfId="0" applyNumberFormat="1" applyFont="1" applyBorder="1" applyAlignment="1">
      <alignment horizontal="center"/>
    </xf>
    <xf numFmtId="10" fontId="6" fillId="0" borderId="73" xfId="0" applyNumberFormat="1" applyFont="1" applyBorder="1" applyAlignment="1">
      <alignment horizontal="center"/>
    </xf>
    <xf numFmtId="10" fontId="6" fillId="0" borderId="74" xfId="0" applyNumberFormat="1" applyFont="1" applyBorder="1" applyAlignment="1">
      <alignment horizontal="center"/>
    </xf>
    <xf numFmtId="17" fontId="3" fillId="28" borderId="33" xfId="283" quotePrefix="1" applyNumberFormat="1" applyFont="1" applyFill="1" applyBorder="1" applyAlignment="1">
      <alignment horizontal="left" vertical="center" wrapText="1"/>
    </xf>
    <xf numFmtId="43" fontId="3" fillId="28" borderId="29" xfId="1" applyFont="1" applyFill="1" applyBorder="1" applyAlignment="1">
      <alignment horizontal="center" vertical="center" wrapText="1"/>
    </xf>
    <xf numFmtId="43" fontId="3" fillId="28" borderId="39" xfId="1" applyFont="1" applyFill="1" applyBorder="1" applyAlignment="1">
      <alignment horizontal="center" vertical="center" wrapText="1"/>
    </xf>
    <xf numFmtId="192" fontId="3" fillId="28" borderId="30" xfId="3032" applyNumberFormat="1" applyFont="1" applyFill="1" applyBorder="1" applyAlignment="1">
      <alignment horizontal="center" vertical="center" wrapText="1"/>
    </xf>
    <xf numFmtId="14" fontId="24" fillId="25" borderId="0" xfId="0" applyNumberFormat="1" applyFont="1" applyFill="1" applyAlignment="1">
      <alignment vertical="center"/>
    </xf>
    <xf numFmtId="0" fontId="53" fillId="28" borderId="126" xfId="0" applyFont="1" applyFill="1" applyBorder="1" applyAlignment="1">
      <alignment vertical="center" wrapText="1"/>
    </xf>
    <xf numFmtId="1" fontId="4" fillId="28" borderId="59" xfId="3052" applyNumberFormat="1" applyFont="1" applyFill="1" applyBorder="1" applyAlignment="1">
      <alignment horizontal="center" vertical="center" wrapText="1"/>
    </xf>
    <xf numFmtId="1" fontId="4" fillId="28" borderId="76" xfId="3052" applyNumberFormat="1" applyFont="1" applyFill="1" applyBorder="1" applyAlignment="1">
      <alignment horizontal="left" vertical="center" wrapText="1"/>
    </xf>
    <xf numFmtId="169" fontId="4" fillId="28" borderId="76" xfId="3052" applyNumberFormat="1" applyFont="1" applyFill="1" applyBorder="1" applyAlignment="1">
      <alignment horizontal="right" vertical="center" wrapText="1"/>
    </xf>
    <xf numFmtId="1" fontId="4" fillId="28" borderId="70" xfId="3052" applyNumberFormat="1" applyFont="1" applyFill="1" applyBorder="1" applyAlignment="1">
      <alignment horizontal="center" vertical="center" wrapText="1"/>
    </xf>
    <xf numFmtId="0" fontId="2" fillId="28" borderId="121" xfId="0" applyFont="1" applyFill="1" applyBorder="1"/>
    <xf numFmtId="0" fontId="53" fillId="0" borderId="0" xfId="0" applyFont="1" applyAlignment="1">
      <alignment horizontal="center" vertical="center"/>
    </xf>
    <xf numFmtId="0" fontId="26" fillId="0" borderId="0" xfId="160" applyFont="1" applyAlignment="1" applyProtection="1">
      <alignment vertical="center"/>
      <protection locked="0"/>
    </xf>
    <xf numFmtId="10" fontId="4" fillId="28" borderId="0" xfId="439" applyNumberFormat="1" applyFill="1"/>
    <xf numFmtId="1" fontId="54" fillId="25" borderId="106" xfId="3052" applyNumberFormat="1" applyFont="1" applyFill="1" applyBorder="1" applyAlignment="1">
      <alignment horizontal="left" vertical="center" wrapText="1"/>
    </xf>
    <xf numFmtId="169" fontId="54" fillId="25" borderId="106" xfId="3052" applyNumberFormat="1" applyFont="1" applyFill="1" applyBorder="1" applyAlignment="1">
      <alignment horizontal="right" vertical="center" wrapText="1"/>
    </xf>
    <xf numFmtId="0" fontId="53" fillId="0" borderId="121" xfId="0" applyFont="1" applyBorder="1" applyAlignment="1">
      <alignment horizontal="center" vertical="center"/>
    </xf>
    <xf numFmtId="0" fontId="0" fillId="28" borderId="121" xfId="0" applyFill="1" applyBorder="1" applyAlignment="1">
      <alignment horizontal="center"/>
    </xf>
    <xf numFmtId="0" fontId="0" fillId="28" borderId="121" xfId="0" applyFill="1" applyBorder="1"/>
    <xf numFmtId="0" fontId="53" fillId="0" borderId="0" xfId="0" applyFont="1" applyAlignment="1">
      <alignment horizontal="left" vertical="center"/>
    </xf>
    <xf numFmtId="0" fontId="3" fillId="0" borderId="109" xfId="316" applyFont="1" applyBorder="1" applyAlignment="1">
      <alignment horizontal="center" vertical="center"/>
    </xf>
    <xf numFmtId="0" fontId="3" fillId="0" borderId="0" xfId="316" applyFont="1" applyAlignment="1">
      <alignment horizontal="center" vertical="center"/>
    </xf>
    <xf numFmtId="0" fontId="53" fillId="0" borderId="108" xfId="0" applyFont="1" applyBorder="1" applyAlignment="1">
      <alignment horizontal="center" vertical="center"/>
    </xf>
    <xf numFmtId="0" fontId="53" fillId="0" borderId="109" xfId="0" applyFont="1" applyBorder="1" applyAlignment="1">
      <alignment horizontal="center" vertical="center"/>
    </xf>
    <xf numFmtId="0" fontId="123" fillId="0" borderId="0" xfId="0" applyFont="1"/>
    <xf numFmtId="1" fontId="90" fillId="28" borderId="33" xfId="3032" applyNumberFormat="1" applyFont="1" applyFill="1" applyBorder="1" applyAlignment="1">
      <alignment horizontal="center" vertical="center" wrapText="1"/>
    </xf>
    <xf numFmtId="2" fontId="61" fillId="0" borderId="0" xfId="3032" applyNumberFormat="1" applyFont="1"/>
    <xf numFmtId="210" fontId="4" fillId="0" borderId="0" xfId="3032" applyNumberFormat="1"/>
    <xf numFmtId="0" fontId="3" fillId="0" borderId="106" xfId="316" applyFont="1" applyBorder="1" applyAlignment="1">
      <alignment horizontal="center" vertical="center"/>
    </xf>
    <xf numFmtId="0" fontId="53" fillId="0" borderId="105" xfId="0" applyFont="1" applyBorder="1" applyAlignment="1">
      <alignment horizontal="left" vertical="center"/>
    </xf>
    <xf numFmtId="0" fontId="53" fillId="0" borderId="106" xfId="0" applyFont="1" applyBorder="1" applyAlignment="1">
      <alignment horizontal="left" vertical="center"/>
    </xf>
    <xf numFmtId="0" fontId="90" fillId="0" borderId="96" xfId="0" applyFont="1" applyBorder="1" applyAlignment="1">
      <alignment horizontal="center" vertical="center"/>
    </xf>
    <xf numFmtId="0" fontId="29" fillId="29" borderId="0" xfId="430" applyFont="1" applyFill="1" applyAlignment="1">
      <alignment horizontal="left" vertical="center"/>
    </xf>
    <xf numFmtId="17" fontId="99" fillId="29" borderId="0" xfId="439" applyNumberFormat="1" applyFont="1" applyFill="1" applyAlignment="1">
      <alignment horizontal="left" vertical="center"/>
    </xf>
    <xf numFmtId="0" fontId="99" fillId="29" borderId="0" xfId="439" applyFont="1" applyFill="1" applyAlignment="1">
      <alignment horizontal="left" vertical="center"/>
    </xf>
    <xf numFmtId="14" fontId="99" fillId="29" borderId="0" xfId="439" applyNumberFormat="1" applyFont="1" applyFill="1" applyAlignment="1">
      <alignment horizontal="left" vertical="center" wrapText="1"/>
    </xf>
    <xf numFmtId="0" fontId="67" fillId="29" borderId="0" xfId="439" applyFont="1" applyFill="1" applyAlignment="1">
      <alignment horizontal="left" vertical="center"/>
    </xf>
    <xf numFmtId="0" fontId="26" fillId="28" borderId="121" xfId="430" applyFont="1" applyFill="1" applyBorder="1" applyAlignment="1">
      <alignment horizontal="left" vertical="center"/>
    </xf>
    <xf numFmtId="43" fontId="4" fillId="28" borderId="93" xfId="1" applyFont="1" applyFill="1" applyBorder="1" applyAlignment="1">
      <alignment horizontal="left" vertical="center"/>
    </xf>
    <xf numFmtId="0" fontId="27" fillId="28" borderId="122" xfId="3032" applyFont="1" applyFill="1" applyBorder="1" applyAlignment="1">
      <alignment vertical="center"/>
    </xf>
    <xf numFmtId="0" fontId="69" fillId="28" borderId="122" xfId="3032" applyFont="1" applyFill="1" applyBorder="1" applyAlignment="1">
      <alignment vertical="center"/>
    </xf>
    <xf numFmtId="0" fontId="4" fillId="28" borderId="94" xfId="3032" applyFill="1" applyBorder="1" applyAlignment="1">
      <alignment horizontal="center" vertical="center"/>
    </xf>
    <xf numFmtId="0" fontId="26" fillId="28" borderId="108" xfId="3032" applyFont="1" applyFill="1" applyBorder="1"/>
    <xf numFmtId="0" fontId="26" fillId="28" borderId="121" xfId="430" applyFont="1" applyFill="1" applyBorder="1" applyAlignment="1">
      <alignment vertical="center"/>
    </xf>
    <xf numFmtId="0" fontId="26" fillId="28" borderId="108" xfId="430" applyFont="1" applyFill="1" applyBorder="1"/>
    <xf numFmtId="0" fontId="26" fillId="28" borderId="109" xfId="430" applyFont="1" applyFill="1" applyBorder="1"/>
    <xf numFmtId="0" fontId="27" fillId="28" borderId="109" xfId="430" applyFont="1" applyFill="1" applyBorder="1" applyAlignment="1">
      <alignment horizontal="left"/>
    </xf>
    <xf numFmtId="49" fontId="27" fillId="28" borderId="0" xfId="430" applyNumberFormat="1" applyFont="1" applyFill="1" applyAlignment="1">
      <alignment horizontal="left" vertical="center"/>
    </xf>
    <xf numFmtId="14" fontId="27" fillId="0" borderId="0" xfId="430" applyNumberFormat="1" applyFont="1" applyAlignment="1">
      <alignment horizontal="left" vertical="center"/>
    </xf>
    <xf numFmtId="0" fontId="4" fillId="0" borderId="95" xfId="3032" applyBorder="1"/>
    <xf numFmtId="0" fontId="27" fillId="0" borderId="0" xfId="3032" applyFont="1" applyAlignment="1">
      <alignment horizontal="left" wrapText="1"/>
    </xf>
    <xf numFmtId="0" fontId="27" fillId="0" borderId="122" xfId="3032" applyFont="1" applyBorder="1"/>
    <xf numFmtId="0" fontId="29" fillId="29" borderId="0" xfId="430" applyFont="1" applyFill="1" applyAlignment="1">
      <alignment vertical="center"/>
    </xf>
    <xf numFmtId="0" fontId="3" fillId="29" borderId="0" xfId="439" applyFont="1" applyFill="1" applyAlignment="1">
      <alignment horizontal="left"/>
    </xf>
    <xf numFmtId="0" fontId="27" fillId="28" borderId="109" xfId="3032" applyFont="1" applyFill="1" applyBorder="1" applyAlignment="1">
      <alignment vertical="center" wrapText="1"/>
    </xf>
    <xf numFmtId="0" fontId="26" fillId="28" borderId="108" xfId="3032" applyFont="1" applyFill="1" applyBorder="1" applyAlignment="1">
      <alignment vertical="center"/>
    </xf>
    <xf numFmtId="49" fontId="90" fillId="0" borderId="0" xfId="0" applyNumberFormat="1" applyFont="1" applyAlignment="1">
      <alignment horizontal="left" vertical="center"/>
    </xf>
    <xf numFmtId="0" fontId="48" fillId="0" borderId="14" xfId="0" applyFont="1" applyBorder="1" applyAlignment="1">
      <alignment horizontal="center" vertical="center"/>
    </xf>
    <xf numFmtId="0" fontId="63" fillId="0" borderId="14" xfId="0" applyFont="1" applyBorder="1" applyAlignment="1">
      <alignment horizontal="center" vertical="center"/>
    </xf>
    <xf numFmtId="0" fontId="47" fillId="0" borderId="14" xfId="0" applyFont="1" applyBorder="1" applyAlignment="1">
      <alignment horizontal="center" vertical="center"/>
    </xf>
    <xf numFmtId="0" fontId="47" fillId="0" borderId="14" xfId="0" applyFont="1" applyBorder="1" applyAlignment="1">
      <alignment vertical="center"/>
    </xf>
    <xf numFmtId="0" fontId="112" fillId="0" borderId="0" xfId="0" applyFont="1"/>
    <xf numFmtId="0" fontId="65" fillId="29" borderId="121" xfId="439" applyFont="1" applyFill="1" applyBorder="1"/>
    <xf numFmtId="0" fontId="90" fillId="0" borderId="0" xfId="0" applyFont="1" applyAlignment="1">
      <alignment horizontal="left" vertical="center" wrapText="1"/>
    </xf>
    <xf numFmtId="14" fontId="48" fillId="0" borderId="0" xfId="0" applyNumberFormat="1" applyFont="1" applyAlignment="1">
      <alignment vertical="center"/>
    </xf>
    <xf numFmtId="169" fontId="152" fillId="29" borderId="82" xfId="1" applyNumberFormat="1" applyFont="1" applyFill="1" applyBorder="1" applyAlignment="1">
      <alignment horizontal="center" vertical="center" wrapText="1"/>
    </xf>
    <xf numFmtId="169" fontId="152" fillId="29" borderId="82" xfId="3032" applyNumberFormat="1" applyFont="1" applyFill="1" applyBorder="1" applyAlignment="1">
      <alignment horizontal="center" vertical="center" wrapText="1"/>
    </xf>
    <xf numFmtId="169" fontId="61" fillId="28" borderId="0" xfId="3032" applyNumberFormat="1" applyFont="1" applyFill="1" applyAlignment="1">
      <alignment horizontal="right"/>
    </xf>
    <xf numFmtId="0" fontId="28" fillId="0" borderId="121" xfId="0" applyFont="1" applyBorder="1" applyAlignment="1">
      <alignment vertical="center"/>
    </xf>
    <xf numFmtId="0" fontId="104" fillId="0" borderId="121" xfId="0" applyFont="1" applyBorder="1"/>
    <xf numFmtId="0" fontId="104" fillId="0" borderId="0" xfId="0" applyFont="1"/>
    <xf numFmtId="17" fontId="28" fillId="0" borderId="121" xfId="0" applyNumberFormat="1" applyFont="1" applyBorder="1" applyAlignment="1">
      <alignment vertical="center"/>
    </xf>
    <xf numFmtId="43" fontId="75" fillId="28" borderId="126" xfId="1" applyFont="1" applyFill="1" applyBorder="1" applyAlignment="1">
      <alignment horizontal="center" vertical="distributed" wrapText="1"/>
    </xf>
    <xf numFmtId="174" fontId="3" fillId="0" borderId="107" xfId="1" applyNumberFormat="1" applyFont="1" applyFill="1" applyBorder="1" applyAlignment="1">
      <alignment horizontal="center" vertical="distributed" wrapText="1"/>
    </xf>
    <xf numFmtId="192" fontId="3" fillId="0" borderId="53" xfId="3032" applyNumberFormat="1" applyFont="1" applyBorder="1" applyAlignment="1">
      <alignment horizontal="center" vertical="center" wrapText="1"/>
    </xf>
    <xf numFmtId="0" fontId="3" fillId="0" borderId="53" xfId="283" applyFont="1" applyBorder="1" applyAlignment="1">
      <alignment horizontal="left" vertical="center" wrapText="1"/>
    </xf>
    <xf numFmtId="1" fontId="3" fillId="0" borderId="43" xfId="3032" applyNumberFormat="1" applyFont="1" applyBorder="1" applyAlignment="1">
      <alignment horizontal="center" vertical="center" wrapText="1"/>
    </xf>
    <xf numFmtId="1" fontId="3" fillId="0" borderId="41" xfId="3032" applyNumberFormat="1" applyFont="1" applyBorder="1" applyAlignment="1">
      <alignment horizontal="center" vertical="center" wrapText="1"/>
    </xf>
    <xf numFmtId="2" fontId="3" fillId="0" borderId="42" xfId="3032" applyNumberFormat="1" applyFont="1" applyBorder="1" applyAlignment="1">
      <alignment horizontal="center" vertical="center" wrapText="1"/>
    </xf>
    <xf numFmtId="0" fontId="3" fillId="0" borderId="53" xfId="3032" applyFont="1" applyBorder="1" applyAlignment="1">
      <alignment horizontal="center" vertical="center" wrapText="1"/>
    </xf>
    <xf numFmtId="174" fontId="3" fillId="0" borderId="53" xfId="1" applyNumberFormat="1" applyFont="1" applyFill="1" applyBorder="1" applyAlignment="1">
      <alignment horizontal="center" vertical="distributed" wrapText="1"/>
    </xf>
    <xf numFmtId="43" fontId="3" fillId="0" borderId="53" xfId="1" applyFont="1" applyFill="1" applyBorder="1" applyAlignment="1">
      <alignment horizontal="center" vertical="center" wrapText="1"/>
    </xf>
    <xf numFmtId="43" fontId="3" fillId="0" borderId="42" xfId="1" applyFont="1" applyFill="1" applyBorder="1" applyAlignment="1">
      <alignment horizontal="center" vertical="center" wrapText="1"/>
    </xf>
    <xf numFmtId="43" fontId="3" fillId="0" borderId="41" xfId="1" applyFont="1" applyFill="1" applyBorder="1" applyAlignment="1">
      <alignment horizontal="center" vertical="center" wrapText="1"/>
    </xf>
    <xf numFmtId="174" fontId="3" fillId="0" borderId="53" xfId="1" applyNumberFormat="1" applyFont="1" applyFill="1" applyBorder="1" applyAlignment="1">
      <alignment horizontal="center" vertical="center" wrapText="1"/>
    </xf>
    <xf numFmtId="43" fontId="3" fillId="0" borderId="42" xfId="1" applyFont="1" applyFill="1" applyBorder="1" applyAlignment="1">
      <alignment horizontal="center" vertical="distributed" wrapText="1"/>
    </xf>
    <xf numFmtId="43" fontId="3" fillId="0" borderId="126" xfId="1" applyFont="1" applyFill="1" applyBorder="1" applyAlignment="1">
      <alignment horizontal="center" vertical="distributed" wrapText="1"/>
    </xf>
    <xf numFmtId="174" fontId="3" fillId="0" borderId="30" xfId="1" applyNumberFormat="1" applyFont="1" applyFill="1" applyBorder="1" applyAlignment="1">
      <alignment horizontal="center" vertical="distributed" wrapText="1"/>
    </xf>
    <xf numFmtId="192" fontId="3" fillId="0" borderId="33" xfId="3032" applyNumberFormat="1" applyFont="1" applyBorder="1" applyAlignment="1">
      <alignment horizontal="center" vertical="center" wrapText="1"/>
    </xf>
    <xf numFmtId="0" fontId="3" fillId="0" borderId="30" xfId="283" applyFont="1" applyBorder="1" applyAlignment="1">
      <alignment horizontal="left" vertical="center" wrapText="1"/>
    </xf>
    <xf numFmtId="1" fontId="3" fillId="0" borderId="31" xfId="3032" applyNumberFormat="1" applyFont="1" applyBorder="1" applyAlignment="1">
      <alignment horizontal="center" vertical="center" wrapText="1"/>
    </xf>
    <xf numFmtId="1" fontId="3" fillId="0" borderId="39" xfId="3032" applyNumberFormat="1" applyFont="1" applyBorder="1" applyAlignment="1">
      <alignment horizontal="center" vertical="center" wrapText="1"/>
    </xf>
    <xf numFmtId="2" fontId="3" fillId="0" borderId="29" xfId="3032" applyNumberFormat="1" applyFont="1" applyBorder="1" applyAlignment="1">
      <alignment horizontal="center" vertical="center" wrapText="1"/>
    </xf>
    <xf numFmtId="0" fontId="3" fillId="0" borderId="30" xfId="3032" applyFont="1" applyBorder="1" applyAlignment="1">
      <alignment horizontal="center" vertical="center" wrapText="1"/>
    </xf>
    <xf numFmtId="43" fontId="3" fillId="0" borderId="31" xfId="1" applyFont="1" applyFill="1" applyBorder="1" applyAlignment="1">
      <alignment horizontal="center" vertical="center" wrapText="1"/>
    </xf>
    <xf numFmtId="43" fontId="3" fillId="0" borderId="30" xfId="1" applyFont="1" applyFill="1" applyBorder="1" applyAlignment="1">
      <alignment horizontal="center" vertical="center" wrapText="1"/>
    </xf>
    <xf numFmtId="43" fontId="3" fillId="0" borderId="29" xfId="1" applyFont="1" applyFill="1" applyBorder="1" applyAlignment="1">
      <alignment horizontal="center" vertical="center" wrapText="1"/>
    </xf>
    <xf numFmtId="43" fontId="3" fillId="0" borderId="39" xfId="1" applyFont="1" applyFill="1" applyBorder="1" applyAlignment="1">
      <alignment horizontal="center" vertical="center" wrapText="1"/>
    </xf>
    <xf numFmtId="43" fontId="3" fillId="0" borderId="29" xfId="1" applyFont="1" applyFill="1" applyBorder="1" applyAlignment="1">
      <alignment horizontal="center" vertical="distributed" wrapText="1"/>
    </xf>
    <xf numFmtId="4" fontId="54" fillId="29" borderId="106" xfId="3042" applyNumberFormat="1" applyFont="1" applyFill="1" applyBorder="1" applyAlignment="1">
      <alignment vertical="center"/>
    </xf>
    <xf numFmtId="4" fontId="54" fillId="29" borderId="106" xfId="1" applyNumberFormat="1" applyFont="1" applyFill="1" applyBorder="1" applyAlignment="1">
      <alignment vertical="center"/>
    </xf>
    <xf numFmtId="169" fontId="4" fillId="28" borderId="0" xfId="3032" applyNumberFormat="1" applyFill="1" applyAlignment="1">
      <alignment horizontal="right"/>
    </xf>
    <xf numFmtId="169" fontId="4" fillId="28" borderId="0" xfId="3032" applyNumberFormat="1" applyFill="1" applyAlignment="1">
      <alignment horizontal="center"/>
    </xf>
    <xf numFmtId="0" fontId="5" fillId="28" borderId="95" xfId="430" applyFont="1" applyFill="1" applyBorder="1" applyAlignment="1">
      <alignment horizontal="center" vertical="center"/>
    </xf>
    <xf numFmtId="0" fontId="4" fillId="0" borderId="94" xfId="3032" applyBorder="1"/>
    <xf numFmtId="0" fontId="29" fillId="0" borderId="121" xfId="430" applyFont="1" applyBorder="1" applyAlignment="1">
      <alignment vertical="center"/>
    </xf>
    <xf numFmtId="0" fontId="27" fillId="25" borderId="94" xfId="0" applyFont="1" applyFill="1" applyBorder="1" applyAlignment="1">
      <alignment vertical="center"/>
    </xf>
    <xf numFmtId="43" fontId="3" fillId="28" borderId="126" xfId="1" applyFont="1" applyFill="1" applyBorder="1" applyAlignment="1">
      <alignment horizontal="center" vertical="distributed" wrapText="1"/>
    </xf>
    <xf numFmtId="1" fontId="28" fillId="28" borderId="126" xfId="0" applyNumberFormat="1" applyFont="1" applyFill="1" applyBorder="1" applyAlignment="1">
      <alignment vertical="center" wrapText="1"/>
    </xf>
    <xf numFmtId="169" fontId="151" fillId="29" borderId="82" xfId="1" applyNumberFormat="1" applyFont="1" applyFill="1" applyBorder="1" applyAlignment="1">
      <alignment horizontal="center" vertical="center" wrapText="1"/>
    </xf>
    <xf numFmtId="169" fontId="151" fillId="29" borderId="82" xfId="3032" applyNumberFormat="1" applyFont="1" applyFill="1" applyBorder="1" applyAlignment="1">
      <alignment horizontal="center" vertical="center" wrapText="1"/>
    </xf>
    <xf numFmtId="1" fontId="28" fillId="28" borderId="92" xfId="0" applyNumberFormat="1" applyFont="1" applyFill="1" applyBorder="1" applyAlignment="1">
      <alignment vertical="center" wrapText="1"/>
    </xf>
    <xf numFmtId="0" fontId="3" fillId="0" borderId="94" xfId="3032" applyFont="1" applyBorder="1" applyAlignment="1">
      <alignment wrapText="1"/>
    </xf>
    <xf numFmtId="43" fontId="3" fillId="0" borderId="32" xfId="1" applyFont="1" applyFill="1" applyBorder="1" applyAlignment="1">
      <alignment horizontal="center" vertical="distributed" wrapText="1"/>
    </xf>
    <xf numFmtId="174" fontId="3" fillId="0" borderId="33" xfId="1" applyNumberFormat="1" applyFont="1" applyFill="1" applyBorder="1" applyAlignment="1">
      <alignment horizontal="center" vertical="distributed" wrapText="1"/>
    </xf>
    <xf numFmtId="43" fontId="3" fillId="0" borderId="33" xfId="1" applyFont="1" applyFill="1" applyBorder="1" applyAlignment="1">
      <alignment horizontal="center" vertical="distributed" wrapText="1"/>
    </xf>
    <xf numFmtId="0" fontId="28" fillId="28" borderId="93" xfId="0" applyFont="1" applyFill="1" applyBorder="1" applyAlignment="1">
      <alignment vertical="center" wrapText="1"/>
    </xf>
    <xf numFmtId="0" fontId="3" fillId="0" borderId="93" xfId="3032" applyFont="1" applyBorder="1" applyAlignment="1">
      <alignment wrapText="1"/>
    </xf>
    <xf numFmtId="174" fontId="3" fillId="28" borderId="45" xfId="1" applyNumberFormat="1" applyFont="1" applyFill="1" applyBorder="1" applyAlignment="1">
      <alignment horizontal="center" vertical="distributed" wrapText="1"/>
    </xf>
    <xf numFmtId="192" fontId="3" fillId="28" borderId="53" xfId="3032" applyNumberFormat="1" applyFont="1" applyFill="1" applyBorder="1" applyAlignment="1">
      <alignment horizontal="center" vertical="center" wrapText="1"/>
    </xf>
    <xf numFmtId="43" fontId="3" fillId="0" borderId="35" xfId="1" applyFont="1" applyFill="1" applyBorder="1" applyAlignment="1">
      <alignment horizontal="center" vertical="center" wrapText="1"/>
    </xf>
    <xf numFmtId="174" fontId="3" fillId="0" borderId="33" xfId="1" applyNumberFormat="1" applyFont="1" applyFill="1" applyBorder="1" applyAlignment="1">
      <alignment horizontal="center" vertical="center" wrapText="1"/>
    </xf>
    <xf numFmtId="0" fontId="28" fillId="28" borderId="109" xfId="0" applyFont="1" applyFill="1" applyBorder="1" applyAlignment="1">
      <alignment vertical="center" wrapText="1"/>
    </xf>
    <xf numFmtId="0" fontId="27" fillId="25" borderId="106" xfId="0" applyFont="1" applyFill="1" applyBorder="1" applyAlignment="1">
      <alignment horizontal="right" vertical="center"/>
    </xf>
    <xf numFmtId="43" fontId="3" fillId="28" borderId="29" xfId="1" applyFont="1" applyFill="1" applyBorder="1" applyAlignment="1">
      <alignment horizontal="center" vertical="distributed" wrapText="1"/>
    </xf>
    <xf numFmtId="1" fontId="3" fillId="0" borderId="34" xfId="3032" applyNumberFormat="1" applyFont="1" applyBorder="1" applyAlignment="1">
      <alignment horizontal="right" vertical="center" wrapText="1"/>
    </xf>
    <xf numFmtId="2" fontId="3" fillId="0" borderId="32" xfId="3032" applyNumberFormat="1" applyFont="1" applyBorder="1" applyAlignment="1">
      <alignment horizontal="left" vertical="center" wrapText="1"/>
    </xf>
    <xf numFmtId="0" fontId="3" fillId="0" borderId="37" xfId="283" applyFont="1" applyBorder="1" applyAlignment="1">
      <alignment horizontal="left" vertical="center" wrapText="1"/>
    </xf>
    <xf numFmtId="1" fontId="3" fillId="0" borderId="38" xfId="3032" applyNumberFormat="1" applyFont="1" applyBorder="1" applyAlignment="1">
      <alignment horizontal="right" vertical="center" wrapText="1"/>
    </xf>
    <xf numFmtId="1" fontId="3" fillId="0" borderId="44" xfId="3032" applyNumberFormat="1" applyFont="1" applyBorder="1" applyAlignment="1">
      <alignment horizontal="center" vertical="center" wrapText="1"/>
    </xf>
    <xf numFmtId="2" fontId="3" fillId="0" borderId="36" xfId="3032" applyNumberFormat="1" applyFont="1" applyBorder="1" applyAlignment="1">
      <alignment horizontal="left" vertical="center" wrapText="1"/>
    </xf>
    <xf numFmtId="43" fontId="3" fillId="28" borderId="44" xfId="1" applyFont="1" applyFill="1" applyBorder="1" applyAlignment="1">
      <alignment horizontal="center" vertical="center" wrapText="1"/>
    </xf>
    <xf numFmtId="43" fontId="3" fillId="28" borderId="36" xfId="1" applyFont="1" applyFill="1" applyBorder="1" applyAlignment="1">
      <alignment horizontal="center" vertical="distributed" wrapText="1"/>
    </xf>
    <xf numFmtId="43" fontId="3" fillId="28" borderId="37" xfId="1" applyFont="1" applyFill="1" applyBorder="1" applyAlignment="1">
      <alignment horizontal="center" vertical="distributed" wrapText="1"/>
    </xf>
    <xf numFmtId="174" fontId="3" fillId="28" borderId="37" xfId="1" applyNumberFormat="1" applyFont="1" applyFill="1" applyBorder="1" applyAlignment="1">
      <alignment horizontal="center" vertical="distributed" wrapText="1"/>
    </xf>
    <xf numFmtId="169" fontId="151" fillId="29" borderId="92" xfId="1" applyNumberFormat="1" applyFont="1" applyFill="1" applyBorder="1" applyAlignment="1">
      <alignment horizontal="center" vertical="center" wrapText="1"/>
    </xf>
    <xf numFmtId="169" fontId="151" fillId="29" borderId="94" xfId="3032" applyNumberFormat="1" applyFont="1" applyFill="1" applyBorder="1" applyAlignment="1">
      <alignment horizontal="center" vertical="center" wrapText="1"/>
    </xf>
    <xf numFmtId="0" fontId="27" fillId="25" borderId="106" xfId="0" applyFont="1" applyFill="1" applyBorder="1" applyAlignment="1">
      <alignment vertical="center"/>
    </xf>
    <xf numFmtId="0" fontId="27" fillId="25" borderId="105" xfId="0" applyFont="1" applyFill="1" applyBorder="1" applyAlignment="1">
      <alignment vertical="center"/>
    </xf>
    <xf numFmtId="0" fontId="3" fillId="28" borderId="53" xfId="283" applyFont="1" applyFill="1" applyBorder="1" applyAlignment="1">
      <alignment horizontal="left" vertical="center" wrapText="1"/>
    </xf>
    <xf numFmtId="43" fontId="3" fillId="28" borderId="43" xfId="1" applyFont="1" applyFill="1" applyBorder="1" applyAlignment="1">
      <alignment horizontal="center" vertical="center" wrapText="1"/>
    </xf>
    <xf numFmtId="2" fontId="151" fillId="29" borderId="94" xfId="3032" applyNumberFormat="1" applyFont="1" applyFill="1" applyBorder="1" applyAlignment="1">
      <alignment horizontal="center" vertical="distributed" wrapText="1"/>
    </xf>
    <xf numFmtId="0" fontId="28" fillId="28" borderId="126" xfId="3032" applyFont="1" applyFill="1" applyBorder="1" applyAlignment="1">
      <alignment horizontal="center" vertical="top" wrapText="1"/>
    </xf>
    <xf numFmtId="0" fontId="28" fillId="28" borderId="126" xfId="0" applyFont="1" applyFill="1" applyBorder="1" applyAlignment="1">
      <alignment vertical="center" wrapText="1"/>
    </xf>
    <xf numFmtId="0" fontId="3" fillId="0" borderId="37" xfId="3032" applyFont="1" applyBorder="1" applyAlignment="1">
      <alignment horizontal="center" vertical="center" wrapText="1"/>
    </xf>
    <xf numFmtId="1" fontId="3" fillId="0" borderId="31" xfId="3032" applyNumberFormat="1" applyFont="1" applyBorder="1" applyAlignment="1">
      <alignment horizontal="right" vertical="center" wrapText="1"/>
    </xf>
    <xf numFmtId="2" fontId="3" fillId="0" borderId="29" xfId="3032" applyNumberFormat="1" applyFont="1" applyBorder="1" applyAlignment="1">
      <alignment horizontal="left" vertical="center" wrapText="1"/>
    </xf>
    <xf numFmtId="0" fontId="85" fillId="0" borderId="82" xfId="0" applyFont="1" applyBorder="1" applyAlignment="1">
      <alignment horizontal="center" vertical="center"/>
    </xf>
    <xf numFmtId="0" fontId="63" fillId="0" borderId="82" xfId="0" applyFont="1" applyBorder="1" applyAlignment="1">
      <alignment horizontal="center" vertical="center"/>
    </xf>
    <xf numFmtId="0" fontId="47" fillId="0" borderId="82" xfId="0" applyFont="1" applyBorder="1" applyAlignment="1">
      <alignment horizontal="center" vertical="center"/>
    </xf>
    <xf numFmtId="0" fontId="53" fillId="29" borderId="0" xfId="0" applyFont="1" applyFill="1" applyAlignment="1">
      <alignment vertical="center"/>
    </xf>
    <xf numFmtId="43" fontId="94" fillId="0" borderId="82" xfId="3034" applyNumberFormat="1" applyFont="1" applyBorder="1" applyAlignment="1" applyProtection="1">
      <alignment vertical="center"/>
      <protection hidden="1"/>
    </xf>
    <xf numFmtId="49" fontId="3" fillId="28" borderId="30" xfId="283" applyNumberFormat="1" applyFont="1" applyFill="1" applyBorder="1" applyAlignment="1">
      <alignment horizontal="center" vertical="center" wrapText="1"/>
    </xf>
    <xf numFmtId="49" fontId="3" fillId="28" borderId="33" xfId="283" applyNumberFormat="1" applyFont="1" applyFill="1" applyBorder="1" applyAlignment="1">
      <alignment horizontal="center" vertical="center" wrapText="1"/>
    </xf>
    <xf numFmtId="1" fontId="28" fillId="28" borderId="107" xfId="0" applyNumberFormat="1" applyFont="1" applyFill="1" applyBorder="1" applyAlignment="1">
      <alignment vertical="center" wrapText="1"/>
    </xf>
    <xf numFmtId="49" fontId="3" fillId="28" borderId="53" xfId="283" applyNumberFormat="1" applyFont="1" applyFill="1" applyBorder="1" applyAlignment="1">
      <alignment horizontal="center" vertical="center" wrapText="1"/>
    </xf>
    <xf numFmtId="49" fontId="3" fillId="28" borderId="37" xfId="283" applyNumberFormat="1" applyFont="1" applyFill="1" applyBorder="1" applyAlignment="1">
      <alignment horizontal="center" vertical="center" wrapText="1"/>
    </xf>
    <xf numFmtId="1" fontId="3" fillId="0" borderId="38" xfId="3032" applyNumberFormat="1" applyFont="1" applyBorder="1" applyAlignment="1">
      <alignment horizontal="center" vertical="center" wrapText="1"/>
    </xf>
    <xf numFmtId="2" fontId="3" fillId="0" borderId="36" xfId="3032" applyNumberFormat="1" applyFont="1" applyBorder="1" applyAlignment="1">
      <alignment horizontal="center" vertical="center" wrapText="1"/>
    </xf>
    <xf numFmtId="0" fontId="61" fillId="0" borderId="82" xfId="0" applyFont="1" applyBorder="1" applyAlignment="1">
      <alignment horizontal="justify" vertical="center" wrapText="1"/>
    </xf>
    <xf numFmtId="0" fontId="61" fillId="0" borderId="82" xfId="0" applyFont="1" applyBorder="1" applyAlignment="1">
      <alignment horizontal="center" vertical="center"/>
    </xf>
    <xf numFmtId="0" fontId="61" fillId="0" borderId="82" xfId="0" applyFont="1" applyBorder="1" applyAlignment="1">
      <alignment horizontal="center" vertical="center" wrapText="1"/>
    </xf>
    <xf numFmtId="0" fontId="5" fillId="0" borderId="82" xfId="0" applyFont="1" applyBorder="1" applyAlignment="1">
      <alignment horizontal="justify" vertical="center" wrapText="1"/>
    </xf>
    <xf numFmtId="0" fontId="154" fillId="0" borderId="0" xfId="0" applyFont="1"/>
    <xf numFmtId="49" fontId="3" fillId="0" borderId="30" xfId="283" applyNumberFormat="1" applyFont="1" applyBorder="1" applyAlignment="1">
      <alignment horizontal="center" vertical="center" wrapText="1"/>
    </xf>
    <xf numFmtId="43" fontId="3" fillId="0" borderId="31" xfId="1" applyFont="1" applyFill="1" applyBorder="1" applyAlignment="1">
      <alignment horizontal="center" vertical="distributed" wrapText="1"/>
    </xf>
    <xf numFmtId="43" fontId="3" fillId="0" borderId="30" xfId="1" applyFont="1" applyFill="1" applyBorder="1" applyAlignment="1">
      <alignment horizontal="center" vertical="distributed" wrapText="1"/>
    </xf>
    <xf numFmtId="192" fontId="3" fillId="0" borderId="30" xfId="3032" applyNumberFormat="1" applyFont="1" applyBorder="1" applyAlignment="1">
      <alignment horizontal="center" vertical="center" wrapText="1"/>
    </xf>
    <xf numFmtId="49" fontId="3" fillId="0" borderId="33" xfId="283" applyNumberFormat="1" applyFont="1" applyBorder="1" applyAlignment="1">
      <alignment horizontal="center" vertical="center" wrapText="1"/>
    </xf>
    <xf numFmtId="0" fontId="4" fillId="0" borderId="0" xfId="3032" applyAlignment="1">
      <alignment horizontal="center"/>
    </xf>
    <xf numFmtId="1" fontId="4" fillId="0" borderId="0" xfId="3032" applyNumberFormat="1" applyAlignment="1">
      <alignment horizontal="center"/>
    </xf>
    <xf numFmtId="2" fontId="151" fillId="29" borderId="70" xfId="3032" applyNumberFormat="1" applyFont="1" applyFill="1" applyBorder="1" applyAlignment="1">
      <alignment horizontal="center" vertical="distributed" wrapText="1"/>
    </xf>
    <xf numFmtId="169" fontId="151" fillId="29" borderId="70" xfId="3032" applyNumberFormat="1" applyFont="1" applyFill="1" applyBorder="1" applyAlignment="1">
      <alignment horizontal="center" vertical="center" wrapText="1"/>
    </xf>
    <xf numFmtId="2" fontId="27" fillId="28" borderId="0" xfId="0" applyNumberFormat="1" applyFont="1" applyFill="1" applyAlignment="1">
      <alignment vertical="center"/>
    </xf>
    <xf numFmtId="2" fontId="27" fillId="25" borderId="0" xfId="0" applyNumberFormat="1" applyFont="1" applyFill="1" applyAlignment="1">
      <alignment vertical="center"/>
    </xf>
    <xf numFmtId="2" fontId="4" fillId="28" borderId="0" xfId="3032" applyNumberFormat="1" applyFill="1" applyAlignment="1">
      <alignment horizontal="center" vertical="center"/>
    </xf>
    <xf numFmtId="43" fontId="3" fillId="0" borderId="37" xfId="1" applyFont="1" applyFill="1" applyBorder="1" applyAlignment="1">
      <alignment horizontal="center" vertical="center" wrapText="1"/>
    </xf>
    <xf numFmtId="43" fontId="3" fillId="0" borderId="36" xfId="1" applyFont="1" applyFill="1" applyBorder="1" applyAlignment="1">
      <alignment horizontal="center" vertical="center" wrapText="1"/>
    </xf>
    <xf numFmtId="43" fontId="3" fillId="0" borderId="44" xfId="1" applyFont="1" applyFill="1" applyBorder="1" applyAlignment="1">
      <alignment horizontal="center" vertical="center" wrapText="1"/>
    </xf>
    <xf numFmtId="174" fontId="3" fillId="0" borderId="37" xfId="1" applyNumberFormat="1" applyFont="1" applyFill="1" applyBorder="1" applyAlignment="1">
      <alignment horizontal="center" vertical="distributed" wrapText="1"/>
    </xf>
    <xf numFmtId="43" fontId="3" fillId="0" borderId="37" xfId="1" applyFont="1" applyFill="1" applyBorder="1" applyAlignment="1">
      <alignment horizontal="center" vertical="distributed" wrapText="1"/>
    </xf>
    <xf numFmtId="192" fontId="3" fillId="0" borderId="37" xfId="3032" applyNumberFormat="1" applyFont="1" applyBorder="1" applyAlignment="1">
      <alignment horizontal="center" vertical="center" wrapText="1"/>
    </xf>
    <xf numFmtId="1" fontId="3" fillId="0" borderId="43" xfId="3032" applyNumberFormat="1" applyFont="1" applyBorder="1" applyAlignment="1">
      <alignment horizontal="right" vertical="center" wrapText="1"/>
    </xf>
    <xf numFmtId="2" fontId="3" fillId="0" borderId="42" xfId="3032" applyNumberFormat="1" applyFont="1" applyBorder="1" applyAlignment="1">
      <alignment horizontal="left" vertical="center" wrapText="1"/>
    </xf>
    <xf numFmtId="43" fontId="3" fillId="0" borderId="38" xfId="1" applyFont="1" applyFill="1" applyBorder="1" applyAlignment="1">
      <alignment horizontal="center" vertical="distributed" wrapText="1"/>
    </xf>
    <xf numFmtId="0" fontId="3" fillId="0" borderId="37" xfId="3032" applyFont="1" applyBorder="1" applyAlignment="1">
      <alignment horizontal="left" vertical="distributed" wrapText="1"/>
    </xf>
    <xf numFmtId="0" fontId="28" fillId="29" borderId="0" xfId="0" applyFont="1" applyFill="1" applyAlignment="1">
      <alignment vertical="center"/>
    </xf>
    <xf numFmtId="0" fontId="75" fillId="0" borderId="33" xfId="3032" applyFont="1" applyBorder="1" applyAlignment="1">
      <alignment horizontal="left" vertical="distributed" wrapText="1"/>
    </xf>
    <xf numFmtId="1" fontId="75" fillId="28" borderId="38" xfId="3032" applyNumberFormat="1" applyFont="1" applyFill="1" applyBorder="1" applyAlignment="1">
      <alignment horizontal="center" vertical="center" wrapText="1"/>
    </xf>
    <xf numFmtId="2" fontId="75" fillId="28" borderId="36" xfId="3032" applyNumberFormat="1" applyFont="1" applyFill="1" applyBorder="1" applyAlignment="1">
      <alignment horizontal="center" vertical="center" wrapText="1"/>
    </xf>
    <xf numFmtId="43" fontId="75" fillId="28" borderId="37" xfId="1" applyFont="1" applyFill="1" applyBorder="1" applyAlignment="1">
      <alignment horizontal="center" vertical="distributed" wrapText="1"/>
    </xf>
    <xf numFmtId="192" fontId="75" fillId="28" borderId="37" xfId="3032" applyNumberFormat="1" applyFont="1" applyFill="1" applyBorder="1" applyAlignment="1">
      <alignment horizontal="center" vertical="center" wrapText="1"/>
    </xf>
    <xf numFmtId="2" fontId="46" fillId="0" borderId="0" xfId="3032" applyNumberFormat="1" applyFont="1"/>
    <xf numFmtId="1" fontId="75" fillId="0" borderId="34" xfId="3032" applyNumberFormat="1" applyFont="1" applyBorder="1" applyAlignment="1">
      <alignment horizontal="center" vertical="center" wrapText="1"/>
    </xf>
    <xf numFmtId="1" fontId="75" fillId="0" borderId="35" xfId="3032" applyNumberFormat="1" applyFont="1" applyBorder="1" applyAlignment="1">
      <alignment horizontal="center" vertical="center" wrapText="1"/>
    </xf>
    <xf numFmtId="2" fontId="75" fillId="0" borderId="32" xfId="3032" applyNumberFormat="1" applyFont="1" applyBorder="1" applyAlignment="1">
      <alignment horizontal="center" vertical="center" wrapText="1"/>
    </xf>
    <xf numFmtId="1" fontId="75" fillId="0" borderId="34" xfId="3032" applyNumberFormat="1" applyFont="1" applyBorder="1" applyAlignment="1">
      <alignment horizontal="right" vertical="center" wrapText="1"/>
    </xf>
    <xf numFmtId="2" fontId="75" fillId="0" borderId="32" xfId="3032" applyNumberFormat="1" applyFont="1" applyBorder="1" applyAlignment="1">
      <alignment horizontal="left" vertical="center" wrapText="1"/>
    </xf>
    <xf numFmtId="0" fontId="75" fillId="0" borderId="37" xfId="283" applyFont="1" applyBorder="1" applyAlignment="1">
      <alignment horizontal="left" vertical="center" wrapText="1"/>
    </xf>
    <xf numFmtId="49" fontId="75" fillId="0" borderId="33" xfId="283" applyNumberFormat="1" applyFont="1" applyBorder="1" applyAlignment="1">
      <alignment horizontal="center" vertical="center" wrapText="1"/>
    </xf>
    <xf numFmtId="43" fontId="75" fillId="0" borderId="32" xfId="1" applyFont="1" applyFill="1" applyBorder="1" applyAlignment="1">
      <alignment horizontal="center" vertical="center" wrapText="1"/>
    </xf>
    <xf numFmtId="43" fontId="75" fillId="0" borderId="35" xfId="1" applyFont="1" applyFill="1" applyBorder="1" applyAlignment="1">
      <alignment horizontal="center" vertical="center" wrapText="1"/>
    </xf>
    <xf numFmtId="43" fontId="75" fillId="0" borderId="32" xfId="1" applyFont="1" applyFill="1" applyBorder="1" applyAlignment="1">
      <alignment horizontal="center" vertical="distributed" wrapText="1"/>
    </xf>
    <xf numFmtId="192" fontId="75" fillId="0" borderId="33" xfId="3032" applyNumberFormat="1" applyFont="1" applyBorder="1" applyAlignment="1">
      <alignment horizontal="center" vertical="center" wrapText="1"/>
    </xf>
    <xf numFmtId="43" fontId="75" fillId="0" borderId="34" xfId="1" applyFont="1" applyFill="1" applyBorder="1" applyAlignment="1">
      <alignment horizontal="center" vertical="center" wrapText="1"/>
    </xf>
    <xf numFmtId="174" fontId="75" fillId="0" borderId="32" xfId="1" applyNumberFormat="1" applyFont="1" applyFill="1" applyBorder="1" applyAlignment="1">
      <alignment horizontal="center" vertical="distributed" wrapText="1"/>
    </xf>
    <xf numFmtId="1" fontId="75" fillId="0" borderId="37" xfId="3032" applyNumberFormat="1" applyFont="1" applyBorder="1" applyAlignment="1">
      <alignment horizontal="center" vertical="center" wrapText="1"/>
    </xf>
    <xf numFmtId="169" fontId="75" fillId="0" borderId="32" xfId="3032" applyNumberFormat="1" applyFont="1" applyBorder="1" applyAlignment="1">
      <alignment horizontal="center" vertical="distributed" wrapText="1"/>
    </xf>
    <xf numFmtId="0" fontId="75" fillId="0" borderId="37" xfId="3032" applyFont="1" applyBorder="1" applyAlignment="1">
      <alignment horizontal="center" vertical="distributed" wrapText="1"/>
    </xf>
    <xf numFmtId="43" fontId="75" fillId="0" borderId="37" xfId="1" applyFont="1" applyFill="1" applyBorder="1" applyAlignment="1">
      <alignment horizontal="center" vertical="center" wrapText="1"/>
    </xf>
    <xf numFmtId="43" fontId="75" fillId="0" borderId="38" xfId="1" applyFont="1" applyFill="1" applyBorder="1" applyAlignment="1">
      <alignment horizontal="center" vertical="distributed" wrapText="1"/>
    </xf>
    <xf numFmtId="174" fontId="75" fillId="0" borderId="37" xfId="1" applyNumberFormat="1" applyFont="1" applyFill="1" applyBorder="1" applyAlignment="1">
      <alignment horizontal="center" vertical="distributed" wrapText="1"/>
    </xf>
    <xf numFmtId="0" fontId="75" fillId="0" borderId="45" xfId="283" applyFont="1" applyBorder="1" applyAlignment="1">
      <alignment horizontal="left" vertical="center" wrapText="1"/>
    </xf>
    <xf numFmtId="43" fontId="75" fillId="0" borderId="45" xfId="1" applyFont="1" applyFill="1" applyBorder="1" applyAlignment="1">
      <alignment horizontal="center" vertical="center" wrapText="1"/>
    </xf>
    <xf numFmtId="43" fontId="75" fillId="0" borderId="46" xfId="1" applyFont="1" applyFill="1" applyBorder="1" applyAlignment="1">
      <alignment horizontal="center" vertical="center" wrapText="1"/>
    </xf>
    <xf numFmtId="43" fontId="75" fillId="0" borderId="47" xfId="1" applyFont="1" applyFill="1" applyBorder="1" applyAlignment="1">
      <alignment horizontal="center" vertical="distributed" wrapText="1"/>
    </xf>
    <xf numFmtId="174" fontId="75" fillId="0" borderId="45" xfId="1" applyNumberFormat="1" applyFont="1" applyFill="1" applyBorder="1" applyAlignment="1">
      <alignment horizontal="center" vertical="distributed" wrapText="1"/>
    </xf>
    <xf numFmtId="192" fontId="75" fillId="0" borderId="45" xfId="3032" applyNumberFormat="1" applyFont="1" applyBorder="1" applyAlignment="1">
      <alignment horizontal="center" vertical="center" wrapText="1"/>
    </xf>
    <xf numFmtId="43" fontId="75" fillId="0" borderId="36" xfId="1" applyFont="1" applyFill="1" applyBorder="1" applyAlignment="1">
      <alignment horizontal="center" vertical="distributed" wrapText="1"/>
    </xf>
    <xf numFmtId="189" fontId="4" fillId="28" borderId="0" xfId="439" applyNumberFormat="1" applyFill="1"/>
    <xf numFmtId="189" fontId="24" fillId="25" borderId="0" xfId="0" applyNumberFormat="1" applyFont="1" applyFill="1" applyAlignment="1">
      <alignment horizontal="left"/>
    </xf>
    <xf numFmtId="189" fontId="24" fillId="0" borderId="0" xfId="0" applyNumberFormat="1" applyFont="1" applyAlignment="1">
      <alignment horizontal="left" vertical="center"/>
    </xf>
    <xf numFmtId="43" fontId="121" fillId="0" borderId="0" xfId="1" applyFont="1"/>
    <xf numFmtId="43" fontId="59" fillId="0" borderId="0" xfId="1" applyFont="1" applyAlignment="1" applyProtection="1">
      <alignment horizontal="center" vertical="center"/>
      <protection locked="0"/>
    </xf>
    <xf numFmtId="4" fontId="24" fillId="25" borderId="0" xfId="0" applyNumberFormat="1" applyFont="1" applyFill="1" applyAlignment="1">
      <alignment horizontal="left"/>
    </xf>
    <xf numFmtId="43" fontId="24" fillId="25" borderId="0" xfId="0" applyNumberFormat="1" applyFont="1" applyFill="1"/>
    <xf numFmtId="0" fontId="90" fillId="0" borderId="82" xfId="0" applyFont="1" applyBorder="1" applyAlignment="1">
      <alignment horizontal="justify" vertical="center" wrapText="1"/>
    </xf>
    <xf numFmtId="8" fontId="6" fillId="0" borderId="37" xfId="0" applyNumberFormat="1" applyFont="1" applyBorder="1" applyAlignment="1">
      <alignment horizontal="center" vertical="center"/>
    </xf>
    <xf numFmtId="0" fontId="47" fillId="0" borderId="0" xfId="0" applyFont="1" applyAlignment="1">
      <alignment vertical="center" wrapText="1"/>
    </xf>
    <xf numFmtId="0" fontId="122" fillId="28" borderId="82" xfId="0" applyFont="1" applyFill="1" applyBorder="1" applyAlignment="1">
      <alignment horizontal="center" vertical="center" wrapText="1"/>
    </xf>
    <xf numFmtId="4" fontId="71" fillId="0" borderId="0" xfId="0" applyNumberFormat="1" applyFont="1"/>
    <xf numFmtId="4" fontId="123" fillId="0" borderId="0" xfId="0" applyNumberFormat="1" applyFont="1"/>
    <xf numFmtId="190" fontId="47" fillId="0" borderId="0" xfId="0" applyNumberFormat="1" applyFont="1" applyAlignment="1">
      <alignment vertical="center"/>
    </xf>
    <xf numFmtId="1" fontId="90" fillId="28" borderId="37" xfId="3032" applyNumberFormat="1" applyFont="1" applyFill="1" applyBorder="1" applyAlignment="1">
      <alignment horizontal="center" vertical="center" wrapText="1"/>
    </xf>
    <xf numFmtId="17" fontId="90" fillId="28" borderId="37" xfId="283" applyNumberFormat="1" applyFont="1" applyFill="1" applyBorder="1" applyAlignment="1">
      <alignment horizontal="left" vertical="center" wrapText="1"/>
    </xf>
    <xf numFmtId="1" fontId="90" fillId="28" borderId="38" xfId="3032" applyNumberFormat="1" applyFont="1" applyFill="1" applyBorder="1" applyAlignment="1">
      <alignment horizontal="right" vertical="center" wrapText="1"/>
    </xf>
    <xf numFmtId="1" fontId="90" fillId="28" borderId="44" xfId="3032" applyNumberFormat="1" applyFont="1" applyFill="1" applyBorder="1" applyAlignment="1">
      <alignment horizontal="center" vertical="center" wrapText="1"/>
    </xf>
    <xf numFmtId="2" fontId="90" fillId="28" borderId="36" xfId="3032" applyNumberFormat="1" applyFont="1" applyFill="1" applyBorder="1" applyAlignment="1">
      <alignment horizontal="left" vertical="center" wrapText="1"/>
    </xf>
    <xf numFmtId="0" fontId="90" fillId="28" borderId="37" xfId="3032" applyFont="1" applyFill="1" applyBorder="1" applyAlignment="1">
      <alignment horizontal="center" vertical="center" wrapText="1"/>
    </xf>
    <xf numFmtId="43" fontId="90" fillId="28" borderId="38" xfId="1" applyFont="1" applyFill="1" applyBorder="1" applyAlignment="1">
      <alignment horizontal="center" vertical="center" wrapText="1"/>
    </xf>
    <xf numFmtId="43" fontId="90" fillId="28" borderId="37" xfId="1" applyFont="1" applyFill="1" applyBorder="1" applyAlignment="1">
      <alignment horizontal="center" vertical="center" wrapText="1"/>
    </xf>
    <xf numFmtId="43" fontId="90" fillId="28" borderId="36" xfId="1" applyFont="1" applyFill="1" applyBorder="1" applyAlignment="1">
      <alignment horizontal="center" vertical="center" wrapText="1"/>
    </xf>
    <xf numFmtId="43" fontId="90" fillId="28" borderId="44" xfId="1" applyFont="1" applyFill="1" applyBorder="1" applyAlignment="1">
      <alignment horizontal="center" vertical="center" wrapText="1"/>
    </xf>
    <xf numFmtId="43" fontId="90" fillId="28" borderId="38" xfId="1" applyFont="1" applyFill="1" applyBorder="1" applyAlignment="1">
      <alignment horizontal="center" vertical="distributed" wrapText="1"/>
    </xf>
    <xf numFmtId="43" fontId="90" fillId="28" borderId="36" xfId="1" applyFont="1" applyFill="1" applyBorder="1" applyAlignment="1">
      <alignment horizontal="center" vertical="distributed" wrapText="1"/>
    </xf>
    <xf numFmtId="43" fontId="90" fillId="28" borderId="37" xfId="1" applyFont="1" applyFill="1" applyBorder="1" applyAlignment="1">
      <alignment horizontal="center" vertical="distributed" wrapText="1"/>
    </xf>
    <xf numFmtId="192" fontId="90" fillId="28" borderId="37" xfId="3032" applyNumberFormat="1" applyFont="1" applyFill="1" applyBorder="1" applyAlignment="1">
      <alignment horizontal="center" vertical="center" wrapText="1"/>
    </xf>
    <xf numFmtId="17" fontId="90" fillId="28" borderId="37" xfId="283" quotePrefix="1" applyNumberFormat="1" applyFont="1" applyFill="1" applyBorder="1" applyAlignment="1">
      <alignment horizontal="left" vertical="center" wrapText="1"/>
    </xf>
    <xf numFmtId="174" fontId="90" fillId="28" borderId="36" xfId="1" applyNumberFormat="1" applyFont="1" applyFill="1" applyBorder="1" applyAlignment="1">
      <alignment horizontal="center" vertical="distributed" wrapText="1"/>
    </xf>
    <xf numFmtId="0" fontId="90" fillId="28" borderId="36" xfId="3032" applyFont="1" applyFill="1" applyBorder="1" applyAlignment="1">
      <alignment horizontal="left" vertical="distributed" wrapText="1"/>
    </xf>
    <xf numFmtId="0" fontId="90" fillId="28" borderId="30" xfId="3032" applyFont="1" applyFill="1" applyBorder="1" applyAlignment="1">
      <alignment horizontal="left" vertical="center" wrapText="1"/>
    </xf>
    <xf numFmtId="0" fontId="90" fillId="28" borderId="45" xfId="3032" applyFont="1" applyFill="1" applyBorder="1" applyAlignment="1">
      <alignment horizontal="left" vertical="center" wrapText="1"/>
    </xf>
    <xf numFmtId="1" fontId="90" fillId="28" borderId="34" xfId="3032" applyNumberFormat="1" applyFont="1" applyFill="1" applyBorder="1" applyAlignment="1">
      <alignment horizontal="center" vertical="center" wrapText="1"/>
    </xf>
    <xf numFmtId="2" fontId="90" fillId="28" borderId="32" xfId="3032" applyNumberFormat="1" applyFont="1" applyFill="1" applyBorder="1" applyAlignment="1">
      <alignment horizontal="center" vertical="center" wrapText="1"/>
    </xf>
    <xf numFmtId="0" fontId="90" fillId="28" borderId="37" xfId="3032" applyFont="1" applyFill="1" applyBorder="1" applyAlignment="1">
      <alignment horizontal="left" vertical="distributed" wrapText="1"/>
    </xf>
    <xf numFmtId="43" fontId="97" fillId="28" borderId="82" xfId="3035" applyFont="1" applyFill="1" applyBorder="1" applyProtection="1">
      <protection locked="0"/>
    </xf>
    <xf numFmtId="49" fontId="74" fillId="28" borderId="33" xfId="283" applyNumberFormat="1" applyFont="1" applyFill="1" applyBorder="1" applyAlignment="1">
      <alignment horizontal="center" vertical="center" wrapText="1"/>
    </xf>
    <xf numFmtId="49" fontId="75" fillId="0" borderId="53" xfId="283" applyNumberFormat="1" applyFont="1" applyBorder="1" applyAlignment="1">
      <alignment horizontal="center" vertical="center" wrapText="1"/>
    </xf>
    <xf numFmtId="192" fontId="75" fillId="0" borderId="37" xfId="3032" applyNumberFormat="1" applyFont="1" applyBorder="1" applyAlignment="1">
      <alignment horizontal="center" vertical="center" wrapText="1"/>
    </xf>
    <xf numFmtId="169" fontId="3" fillId="0" borderId="0" xfId="3032" applyNumberFormat="1" applyFont="1" applyAlignment="1">
      <alignment wrapText="1"/>
    </xf>
    <xf numFmtId="0" fontId="90" fillId="0" borderId="82" xfId="0" applyFont="1" applyBorder="1" applyAlignment="1">
      <alignment horizontal="left" vertical="center" wrapText="1"/>
    </xf>
    <xf numFmtId="196" fontId="68" fillId="36" borderId="82" xfId="439" applyNumberFormat="1" applyFont="1" applyFill="1" applyBorder="1" applyAlignment="1" applyProtection="1">
      <alignment horizontal="center" vertical="center" wrapText="1"/>
      <protection hidden="1"/>
    </xf>
    <xf numFmtId="10" fontId="94" fillId="0" borderId="82" xfId="439" applyNumberFormat="1" applyFont="1" applyBorder="1" applyAlignment="1" applyProtection="1">
      <alignment horizontal="right" vertical="center" wrapText="1"/>
      <protection hidden="1"/>
    </xf>
    <xf numFmtId="43" fontId="94" fillId="0" borderId="82" xfId="3034" applyNumberFormat="1" applyFont="1" applyFill="1" applyBorder="1" applyAlignment="1" applyProtection="1">
      <alignment vertical="center"/>
      <protection hidden="1"/>
    </xf>
    <xf numFmtId="174" fontId="3" fillId="0" borderId="43" xfId="1" applyNumberFormat="1" applyFont="1" applyFill="1" applyBorder="1" applyAlignment="1">
      <alignment horizontal="center" vertical="center" wrapText="1"/>
    </xf>
    <xf numFmtId="43" fontId="3" fillId="0" borderId="43" xfId="1" applyFont="1" applyFill="1" applyBorder="1" applyAlignment="1">
      <alignment horizontal="center" vertical="distributed" wrapText="1"/>
    </xf>
    <xf numFmtId="43" fontId="3" fillId="0" borderId="53" xfId="1" applyFont="1" applyFill="1" applyBorder="1" applyAlignment="1">
      <alignment horizontal="center" vertical="distributed" wrapText="1"/>
    </xf>
    <xf numFmtId="174" fontId="3" fillId="0" borderId="45" xfId="1" applyNumberFormat="1" applyFont="1" applyFill="1" applyBorder="1" applyAlignment="1">
      <alignment horizontal="center" vertical="distributed" wrapText="1"/>
    </xf>
    <xf numFmtId="165" fontId="3" fillId="0" borderId="0" xfId="0" applyNumberFormat="1" applyFont="1" applyAlignment="1">
      <alignment horizontal="center" vertical="center"/>
    </xf>
    <xf numFmtId="0" fontId="47" fillId="30" borderId="0" xfId="316" applyFont="1" applyFill="1" applyAlignment="1" applyProtection="1">
      <alignment horizontal="center"/>
      <protection locked="0"/>
    </xf>
    <xf numFmtId="0" fontId="47" fillId="32" borderId="0" xfId="0" applyFont="1" applyFill="1" applyAlignment="1">
      <alignment vertical="center"/>
    </xf>
    <xf numFmtId="0" fontId="155" fillId="0" borderId="0" xfId="0" applyFont="1" applyAlignment="1">
      <alignment vertical="center"/>
    </xf>
    <xf numFmtId="43" fontId="75" fillId="0" borderId="46" xfId="1" applyFont="1" applyFill="1" applyBorder="1" applyAlignment="1">
      <alignment horizontal="center" vertical="distributed" wrapText="1"/>
    </xf>
    <xf numFmtId="49" fontId="75" fillId="0" borderId="37" xfId="283" applyNumberFormat="1" applyFont="1" applyBorder="1" applyAlignment="1">
      <alignment horizontal="center" vertical="center" wrapText="1"/>
    </xf>
    <xf numFmtId="0" fontId="3" fillId="28" borderId="36" xfId="3032" applyFont="1" applyFill="1" applyBorder="1" applyAlignment="1">
      <alignment horizontal="left" vertical="distributed" wrapText="1"/>
    </xf>
    <xf numFmtId="0" fontId="53" fillId="25" borderId="106" xfId="0" applyFont="1" applyFill="1" applyBorder="1" applyAlignment="1">
      <alignment horizontal="center" vertical="center"/>
    </xf>
    <xf numFmtId="49" fontId="75" fillId="28" borderId="37" xfId="283" applyNumberFormat="1" applyFont="1" applyFill="1" applyBorder="1" applyAlignment="1">
      <alignment horizontal="center" vertical="center" wrapText="1"/>
    </xf>
    <xf numFmtId="43" fontId="3" fillId="0" borderId="36" xfId="1" applyFont="1" applyFill="1" applyBorder="1" applyAlignment="1">
      <alignment horizontal="center" vertical="distributed" wrapText="1"/>
    </xf>
    <xf numFmtId="49" fontId="90" fillId="0" borderId="45" xfId="283" applyNumberFormat="1" applyFont="1" applyBorder="1" applyAlignment="1">
      <alignment horizontal="center" vertical="center" wrapText="1"/>
    </xf>
    <xf numFmtId="1" fontId="75" fillId="0" borderId="47" xfId="3032" applyNumberFormat="1" applyFont="1" applyBorder="1" applyAlignment="1">
      <alignment horizontal="center" vertical="center" wrapText="1"/>
    </xf>
    <xf numFmtId="1" fontId="75" fillId="0" borderId="28" xfId="3032" applyNumberFormat="1" applyFont="1" applyBorder="1" applyAlignment="1">
      <alignment horizontal="center" vertical="center" wrapText="1"/>
    </xf>
    <xf numFmtId="2" fontId="75" fillId="0" borderId="46" xfId="3032" applyNumberFormat="1" applyFont="1" applyBorder="1" applyAlignment="1">
      <alignment horizontal="center" vertical="center" wrapText="1"/>
    </xf>
    <xf numFmtId="0" fontId="75" fillId="0" borderId="45" xfId="3032" applyFont="1" applyBorder="1" applyAlignment="1">
      <alignment horizontal="center" vertical="center" wrapText="1"/>
    </xf>
    <xf numFmtId="43" fontId="75" fillId="0" borderId="28" xfId="1" applyFont="1" applyFill="1" applyBorder="1" applyAlignment="1">
      <alignment horizontal="center" vertical="center" wrapText="1"/>
    </xf>
    <xf numFmtId="174" fontId="75" fillId="0" borderId="45" xfId="1" applyNumberFormat="1" applyFont="1" applyFill="1" applyBorder="1" applyAlignment="1">
      <alignment vertical="center" wrapText="1"/>
    </xf>
    <xf numFmtId="43" fontId="75" fillId="0" borderId="45" xfId="1" applyFont="1" applyFill="1" applyBorder="1" applyAlignment="1">
      <alignment horizontal="center" vertical="distributed" wrapText="1"/>
    </xf>
    <xf numFmtId="49" fontId="90" fillId="28" borderId="45" xfId="283" applyNumberFormat="1" applyFont="1" applyFill="1" applyBorder="1" applyAlignment="1">
      <alignment horizontal="center" vertical="center" wrapText="1"/>
    </xf>
    <xf numFmtId="1" fontId="75" fillId="0" borderId="95" xfId="3032" applyNumberFormat="1" applyFont="1" applyBorder="1" applyAlignment="1">
      <alignment horizontal="center" vertical="center" wrapText="1"/>
    </xf>
    <xf numFmtId="1" fontId="75" fillId="0" borderId="93" xfId="3032" applyNumberFormat="1" applyFont="1" applyBorder="1" applyAlignment="1">
      <alignment horizontal="center" vertical="center" wrapText="1"/>
    </xf>
    <xf numFmtId="0" fontId="27" fillId="28" borderId="110" xfId="3032" applyFont="1" applyFill="1" applyBorder="1" applyAlignment="1">
      <alignment horizontal="center" vertical="center" wrapText="1"/>
    </xf>
    <xf numFmtId="0" fontId="5" fillId="28" borderId="93" xfId="430" applyFont="1" applyFill="1" applyBorder="1" applyAlignment="1">
      <alignment horizontal="center" vertical="center"/>
    </xf>
    <xf numFmtId="0" fontId="29" fillId="0" borderId="0" xfId="430" applyFont="1" applyAlignment="1">
      <alignment horizontal="center" vertical="center"/>
    </xf>
    <xf numFmtId="1" fontId="90" fillId="28" borderId="38" xfId="3032" applyNumberFormat="1" applyFont="1" applyFill="1" applyBorder="1" applyAlignment="1">
      <alignment horizontal="center" vertical="center" wrapText="1"/>
    </xf>
    <xf numFmtId="2" fontId="90" fillId="28" borderId="36" xfId="3032" applyNumberFormat="1" applyFont="1" applyFill="1" applyBorder="1" applyAlignment="1">
      <alignment horizontal="center" vertical="center" wrapText="1"/>
    </xf>
    <xf numFmtId="2" fontId="27" fillId="28" borderId="0" xfId="0" applyNumberFormat="1" applyFont="1" applyFill="1" applyAlignment="1">
      <alignment horizontal="center" vertical="center"/>
    </xf>
    <xf numFmtId="1" fontId="27" fillId="28" borderId="117" xfId="0" applyNumberFormat="1" applyFont="1" applyFill="1" applyBorder="1" applyAlignment="1">
      <alignment horizontal="center" vertical="center"/>
    </xf>
    <xf numFmtId="49" fontId="90" fillId="28" borderId="37" xfId="283" applyNumberFormat="1" applyFont="1" applyFill="1" applyBorder="1" applyAlignment="1">
      <alignment horizontal="center" vertical="center" wrapText="1"/>
    </xf>
    <xf numFmtId="0" fontId="75" fillId="0" borderId="92" xfId="283" applyFont="1" applyBorder="1" applyAlignment="1">
      <alignment horizontal="left" vertical="center" wrapText="1"/>
    </xf>
    <xf numFmtId="2" fontId="75" fillId="0" borderId="94" xfId="3032" applyNumberFormat="1" applyFont="1" applyBorder="1" applyAlignment="1">
      <alignment horizontal="center" vertical="center" wrapText="1"/>
    </xf>
    <xf numFmtId="0" fontId="75" fillId="0" borderId="92" xfId="3032" applyFont="1" applyBorder="1" applyAlignment="1">
      <alignment horizontal="center" vertical="center" wrapText="1"/>
    </xf>
    <xf numFmtId="43" fontId="75" fillId="0" borderId="92" xfId="1" applyFont="1" applyFill="1" applyBorder="1" applyAlignment="1">
      <alignment horizontal="center" vertical="center" wrapText="1"/>
    </xf>
    <xf numFmtId="43" fontId="75" fillId="0" borderId="94" xfId="1" applyFont="1" applyFill="1" applyBorder="1" applyAlignment="1">
      <alignment horizontal="center" vertical="center" wrapText="1"/>
    </xf>
    <xf numFmtId="43" fontId="75" fillId="0" borderId="95" xfId="1" applyFont="1" applyFill="1" applyBorder="1" applyAlignment="1">
      <alignment horizontal="center" vertical="distributed" wrapText="1"/>
    </xf>
    <xf numFmtId="43" fontId="75" fillId="0" borderId="94" xfId="1" applyFont="1" applyFill="1" applyBorder="1" applyAlignment="1">
      <alignment horizontal="center" vertical="distributed" wrapText="1"/>
    </xf>
    <xf numFmtId="43" fontId="75" fillId="0" borderId="92" xfId="1" applyFont="1" applyFill="1" applyBorder="1" applyAlignment="1">
      <alignment horizontal="center" vertical="distributed" wrapText="1"/>
    </xf>
    <xf numFmtId="192" fontId="75" fillId="0" borderId="92" xfId="3032" applyNumberFormat="1" applyFont="1" applyBorder="1" applyAlignment="1">
      <alignment horizontal="center" vertical="center" wrapText="1"/>
    </xf>
    <xf numFmtId="49" fontId="90" fillId="0" borderId="92" xfId="283" applyNumberFormat="1" applyFont="1" applyBorder="1" applyAlignment="1">
      <alignment horizontal="center" vertical="center" wrapText="1"/>
    </xf>
    <xf numFmtId="43" fontId="75" fillId="0" borderId="93" xfId="1" applyFont="1" applyFill="1" applyBorder="1" applyAlignment="1">
      <alignment horizontal="center" vertical="center" wrapText="1"/>
    </xf>
    <xf numFmtId="174" fontId="75" fillId="0" borderId="92" xfId="1" applyNumberFormat="1" applyFont="1" applyFill="1" applyBorder="1" applyAlignment="1">
      <alignment vertical="center" wrapText="1"/>
    </xf>
    <xf numFmtId="0" fontId="75" fillId="0" borderId="37" xfId="3032" applyFont="1" applyBorder="1" applyAlignment="1">
      <alignment horizontal="left" vertical="distributed" wrapText="1"/>
    </xf>
    <xf numFmtId="0" fontId="109" fillId="0" borderId="82" xfId="0" applyFont="1" applyBorder="1" applyAlignment="1">
      <alignment horizontal="center" vertical="center"/>
    </xf>
    <xf numFmtId="0" fontId="108" fillId="0" borderId="82" xfId="0" applyFont="1" applyBorder="1" applyAlignment="1">
      <alignment horizontal="justify" vertical="center" wrapText="1"/>
    </xf>
    <xf numFmtId="0" fontId="108" fillId="0" borderId="82" xfId="0" applyFont="1" applyBorder="1" applyAlignment="1">
      <alignment horizontal="justify" vertical="center"/>
    </xf>
    <xf numFmtId="0" fontId="109" fillId="0" borderId="82" xfId="0" applyFont="1" applyBorder="1" applyAlignment="1">
      <alignment horizontal="justify" vertical="center" wrapText="1"/>
    </xf>
    <xf numFmtId="0" fontId="156" fillId="0" borderId="0" xfId="0" applyFont="1"/>
    <xf numFmtId="10" fontId="93" fillId="0" borderId="82" xfId="439" applyNumberFormat="1" applyFont="1" applyBorder="1" applyAlignment="1" applyProtection="1">
      <alignment horizontal="right" vertical="center" wrapText="1"/>
      <protection hidden="1"/>
    </xf>
    <xf numFmtId="43" fontId="93" fillId="0" borderId="82" xfId="439" applyNumberFormat="1" applyFont="1" applyBorder="1" applyAlignment="1" applyProtection="1">
      <alignment horizontal="right" vertical="center"/>
      <protection hidden="1"/>
    </xf>
    <xf numFmtId="203" fontId="4" fillId="28" borderId="0" xfId="439" applyNumberFormat="1" applyFill="1" applyAlignment="1">
      <alignment horizontal="center"/>
    </xf>
    <xf numFmtId="174" fontId="3" fillId="0" borderId="38" xfId="1" applyNumberFormat="1" applyFont="1" applyFill="1" applyBorder="1" applyAlignment="1">
      <alignment horizontal="center" vertical="center" wrapText="1"/>
    </xf>
    <xf numFmtId="0" fontId="3" fillId="28" borderId="107" xfId="283" applyFont="1" applyFill="1" applyBorder="1" applyAlignment="1">
      <alignment horizontal="left" vertical="center" wrapText="1"/>
    </xf>
    <xf numFmtId="43" fontId="3" fillId="28" borderId="107" xfId="1" applyFont="1" applyFill="1" applyBorder="1" applyAlignment="1">
      <alignment horizontal="center" vertical="center" wrapText="1"/>
    </xf>
    <xf numFmtId="43" fontId="3" fillId="28" borderId="110" xfId="1" applyFont="1" applyFill="1" applyBorder="1" applyAlignment="1">
      <alignment horizontal="center" vertical="center" wrapText="1"/>
    </xf>
    <xf numFmtId="43" fontId="3" fillId="28" borderId="109" xfId="1" applyFont="1" applyFill="1" applyBorder="1" applyAlignment="1">
      <alignment horizontal="center" vertical="center" wrapText="1"/>
    </xf>
    <xf numFmtId="0" fontId="157" fillId="0" borderId="0" xfId="0" applyFont="1"/>
    <xf numFmtId="17" fontId="3" fillId="28" borderId="37" xfId="283" quotePrefix="1" applyNumberFormat="1" applyFont="1" applyFill="1" applyBorder="1" applyAlignment="1">
      <alignment horizontal="left" vertical="center" wrapText="1"/>
    </xf>
    <xf numFmtId="1" fontId="75" fillId="28" borderId="53" xfId="3032" applyNumberFormat="1" applyFont="1" applyFill="1" applyBorder="1" applyAlignment="1">
      <alignment horizontal="center" vertical="center" wrapText="1"/>
    </xf>
    <xf numFmtId="0" fontId="3" fillId="0" borderId="53" xfId="3032" applyFont="1" applyBorder="1" applyAlignment="1">
      <alignment horizontal="left" vertical="center" wrapText="1"/>
    </xf>
    <xf numFmtId="1" fontId="75" fillId="0" borderId="38" xfId="3032" applyNumberFormat="1" applyFont="1" applyBorder="1" applyAlignment="1">
      <alignment horizontal="center" vertical="center" wrapText="1"/>
    </xf>
    <xf numFmtId="1" fontId="75" fillId="0" borderId="44" xfId="3032" applyNumberFormat="1" applyFont="1" applyBorder="1" applyAlignment="1">
      <alignment horizontal="center" vertical="center" wrapText="1"/>
    </xf>
    <xf numFmtId="2" fontId="75" fillId="0" borderId="36" xfId="3032" applyNumberFormat="1" applyFont="1" applyBorder="1" applyAlignment="1">
      <alignment horizontal="center" vertical="center" wrapText="1"/>
    </xf>
    <xf numFmtId="1" fontId="75" fillId="0" borderId="38" xfId="3032" applyNumberFormat="1" applyFont="1" applyBorder="1" applyAlignment="1">
      <alignment horizontal="right" vertical="center" wrapText="1"/>
    </xf>
    <xf numFmtId="2" fontId="75" fillId="0" borderId="36" xfId="3032" applyNumberFormat="1" applyFont="1" applyBorder="1" applyAlignment="1">
      <alignment horizontal="left" vertical="center" wrapText="1"/>
    </xf>
    <xf numFmtId="0" fontId="75" fillId="0" borderId="37" xfId="3032" applyFont="1" applyBorder="1" applyAlignment="1">
      <alignment horizontal="center" vertical="center" wrapText="1"/>
    </xf>
    <xf numFmtId="43" fontId="75" fillId="0" borderId="38" xfId="1" applyFont="1" applyFill="1" applyBorder="1" applyAlignment="1">
      <alignment horizontal="center" vertical="center" wrapText="1"/>
    </xf>
    <xf numFmtId="43" fontId="75" fillId="0" borderId="36" xfId="1" applyFont="1" applyFill="1" applyBorder="1" applyAlignment="1">
      <alignment horizontal="center" vertical="center" wrapText="1"/>
    </xf>
    <xf numFmtId="43" fontId="75" fillId="0" borderId="44" xfId="1" applyFont="1" applyFill="1" applyBorder="1" applyAlignment="1">
      <alignment horizontal="center" vertical="center" wrapText="1"/>
    </xf>
    <xf numFmtId="174" fontId="75" fillId="0" borderId="37" xfId="1" applyNumberFormat="1" applyFont="1" applyFill="1" applyBorder="1" applyAlignment="1">
      <alignment horizontal="center" vertical="center" wrapText="1"/>
    </xf>
    <xf numFmtId="43" fontId="75" fillId="0" borderId="37" xfId="1" applyFont="1" applyFill="1" applyBorder="1" applyAlignment="1">
      <alignment horizontal="center" vertical="distributed" wrapText="1"/>
    </xf>
    <xf numFmtId="0" fontId="75" fillId="0" borderId="37" xfId="3032" applyFont="1" applyBorder="1" applyAlignment="1">
      <alignment horizontal="left" vertical="center" wrapText="1"/>
    </xf>
    <xf numFmtId="174" fontId="75" fillId="0" borderId="107" xfId="1" applyNumberFormat="1" applyFont="1" applyFill="1" applyBorder="1" applyAlignment="1">
      <alignment horizontal="center" vertical="distributed" wrapText="1"/>
    </xf>
    <xf numFmtId="43" fontId="75" fillId="0" borderId="126" xfId="1" applyFont="1" applyFill="1" applyBorder="1" applyAlignment="1">
      <alignment horizontal="center" vertical="distributed" wrapText="1"/>
    </xf>
    <xf numFmtId="0" fontId="61" fillId="0" borderId="82" xfId="0" applyFont="1" applyBorder="1" applyAlignment="1">
      <alignment horizontal="justify" vertical="center"/>
    </xf>
    <xf numFmtId="174" fontId="75" fillId="0" borderId="38" xfId="1" applyNumberFormat="1" applyFont="1" applyFill="1" applyBorder="1" applyAlignment="1">
      <alignment horizontal="center" vertical="center" wrapText="1"/>
    </xf>
    <xf numFmtId="174" fontId="75" fillId="0" borderId="38" xfId="1" applyNumberFormat="1" applyFont="1" applyFill="1" applyBorder="1" applyAlignment="1">
      <alignment horizontal="center" vertical="distributed" wrapText="1"/>
    </xf>
    <xf numFmtId="174" fontId="75" fillId="0" borderId="36" xfId="1" applyNumberFormat="1" applyFont="1" applyFill="1" applyBorder="1" applyAlignment="1">
      <alignment horizontal="center" vertical="distributed" wrapText="1"/>
    </xf>
    <xf numFmtId="169" fontId="75" fillId="0" borderId="36" xfId="3032" applyNumberFormat="1" applyFont="1" applyBorder="1" applyAlignment="1">
      <alignment horizontal="center" vertical="distributed" wrapText="1"/>
    </xf>
    <xf numFmtId="169" fontId="3" fillId="0" borderId="122" xfId="3032" applyNumberFormat="1" applyFont="1" applyBorder="1" applyAlignment="1">
      <alignment wrapText="1"/>
    </xf>
    <xf numFmtId="0" fontId="65" fillId="29" borderId="122" xfId="439" applyFont="1" applyFill="1" applyBorder="1"/>
    <xf numFmtId="2" fontId="66" fillId="36" borderId="82" xfId="439" applyNumberFormat="1" applyFont="1" applyFill="1" applyBorder="1" applyAlignment="1" applyProtection="1">
      <alignment horizontal="center" vertical="center"/>
      <protection hidden="1"/>
    </xf>
    <xf numFmtId="197" fontId="67" fillId="0" borderId="82" xfId="439" applyNumberFormat="1" applyFont="1" applyBorder="1" applyAlignment="1" applyProtection="1">
      <alignment horizontal="center" vertical="center"/>
      <protection hidden="1"/>
    </xf>
    <xf numFmtId="202" fontId="3" fillId="0" borderId="108" xfId="0" applyNumberFormat="1" applyFont="1" applyBorder="1" applyAlignment="1">
      <alignment vertical="center"/>
    </xf>
    <xf numFmtId="202" fontId="3" fillId="0" borderId="109" xfId="0" applyNumberFormat="1" applyFont="1" applyBorder="1" applyAlignment="1">
      <alignment vertical="center"/>
    </xf>
    <xf numFmtId="202" fontId="74" fillId="0" borderId="109" xfId="0" applyNumberFormat="1" applyFont="1" applyBorder="1" applyAlignment="1">
      <alignment vertical="center"/>
    </xf>
    <xf numFmtId="202" fontId="74" fillId="0" borderId="110" xfId="0" applyNumberFormat="1" applyFont="1" applyBorder="1" applyAlignment="1">
      <alignment vertical="center"/>
    </xf>
    <xf numFmtId="202" fontId="3" fillId="0" borderId="95" xfId="0" applyNumberFormat="1" applyFont="1" applyBorder="1" applyAlignment="1">
      <alignment vertical="center"/>
    </xf>
    <xf numFmtId="202" fontId="3" fillId="0" borderId="93" xfId="0" applyNumberFormat="1" applyFont="1" applyBorder="1" applyAlignment="1">
      <alignment vertical="center"/>
    </xf>
    <xf numFmtId="202" fontId="74" fillId="0" borderId="93" xfId="0" applyNumberFormat="1" applyFont="1" applyBorder="1" applyAlignment="1">
      <alignment vertical="center"/>
    </xf>
    <xf numFmtId="202" fontId="74" fillId="0" borderId="94" xfId="0" applyNumberFormat="1" applyFont="1" applyBorder="1" applyAlignment="1">
      <alignment vertical="center"/>
    </xf>
    <xf numFmtId="0" fontId="75" fillId="0" borderId="37" xfId="3032" applyFont="1" applyBorder="1" applyAlignment="1">
      <alignment vertical="distributed" wrapText="1"/>
    </xf>
    <xf numFmtId="0" fontId="4" fillId="0" borderId="109" xfId="3032" applyBorder="1"/>
    <xf numFmtId="0" fontId="3" fillId="0" borderId="93" xfId="0" applyFont="1" applyBorder="1" applyAlignment="1">
      <alignment vertical="center"/>
    </xf>
    <xf numFmtId="0" fontId="3" fillId="0" borderId="109" xfId="0" applyFont="1" applyBorder="1" applyAlignment="1">
      <alignment vertical="center"/>
    </xf>
    <xf numFmtId="14" fontId="3" fillId="32" borderId="106" xfId="0" applyNumberFormat="1" applyFont="1" applyFill="1" applyBorder="1" applyAlignment="1">
      <alignment horizontal="left" vertical="center"/>
    </xf>
    <xf numFmtId="0" fontId="104" fillId="0" borderId="82" xfId="0" applyFont="1" applyBorder="1" applyAlignment="1">
      <alignment vertical="center"/>
    </xf>
    <xf numFmtId="0" fontId="28" fillId="0" borderId="82" xfId="0" applyFont="1" applyBorder="1" applyAlignment="1">
      <alignment horizontal="center" vertical="center"/>
    </xf>
    <xf numFmtId="0" fontId="61" fillId="0" borderId="45" xfId="3042" applyFont="1" applyBorder="1" applyAlignment="1">
      <alignment horizontal="left" vertical="center" wrapText="1"/>
    </xf>
    <xf numFmtId="0" fontId="74" fillId="28" borderId="33" xfId="3032" applyFont="1" applyFill="1" applyBorder="1" applyAlignment="1">
      <alignment horizontal="left" vertical="distributed" wrapText="1"/>
    </xf>
    <xf numFmtId="0" fontId="74" fillId="28" borderId="33" xfId="283" applyFont="1" applyFill="1" applyBorder="1" applyAlignment="1">
      <alignment horizontal="left" vertical="center" wrapText="1"/>
    </xf>
    <xf numFmtId="1" fontId="74" fillId="28" borderId="34" xfId="3032" applyNumberFormat="1" applyFont="1" applyFill="1" applyBorder="1" applyAlignment="1">
      <alignment horizontal="center" vertical="center" wrapText="1"/>
    </xf>
    <xf numFmtId="1" fontId="74" fillId="28" borderId="35" xfId="3032" applyNumberFormat="1" applyFont="1" applyFill="1" applyBorder="1" applyAlignment="1">
      <alignment horizontal="center" vertical="center" wrapText="1"/>
    </xf>
    <xf numFmtId="2" fontId="74" fillId="28" borderId="32" xfId="3032" applyNumberFormat="1" applyFont="1" applyFill="1" applyBorder="1" applyAlignment="1">
      <alignment horizontal="center" vertical="center" wrapText="1"/>
    </xf>
    <xf numFmtId="1" fontId="74" fillId="28" borderId="34" xfId="3032" applyNumberFormat="1" applyFont="1" applyFill="1" applyBorder="1" applyAlignment="1">
      <alignment horizontal="right" vertical="center" wrapText="1"/>
    </xf>
    <xf numFmtId="2" fontId="74" fillId="28" borderId="32" xfId="3032" applyNumberFormat="1" applyFont="1" applyFill="1" applyBorder="1" applyAlignment="1">
      <alignment horizontal="left" vertical="center" wrapText="1"/>
    </xf>
    <xf numFmtId="0" fontId="74" fillId="28" borderId="33" xfId="3032" applyFont="1" applyFill="1" applyBorder="1" applyAlignment="1">
      <alignment horizontal="center" vertical="center" wrapText="1"/>
    </xf>
    <xf numFmtId="43" fontId="74" fillId="28" borderId="34" xfId="1" applyFont="1" applyFill="1" applyBorder="1" applyAlignment="1">
      <alignment horizontal="center" vertical="center" wrapText="1"/>
    </xf>
    <xf numFmtId="43" fontId="74" fillId="28" borderId="33" xfId="1" applyFont="1" applyFill="1" applyBorder="1" applyAlignment="1">
      <alignment horizontal="center" vertical="center" wrapText="1"/>
    </xf>
    <xf numFmtId="43" fontId="74" fillId="28" borderId="32" xfId="1" applyFont="1" applyFill="1" applyBorder="1" applyAlignment="1">
      <alignment horizontal="center" vertical="center" wrapText="1"/>
    </xf>
    <xf numFmtId="43" fontId="74" fillId="28" borderId="35" xfId="1" applyFont="1" applyFill="1" applyBorder="1" applyAlignment="1">
      <alignment horizontal="center" vertical="center" wrapText="1"/>
    </xf>
    <xf numFmtId="43" fontId="74" fillId="28" borderId="34" xfId="1" applyFont="1" applyFill="1" applyBorder="1" applyAlignment="1">
      <alignment horizontal="center" vertical="distributed" wrapText="1"/>
    </xf>
    <xf numFmtId="43" fontId="74" fillId="28" borderId="33" xfId="1" applyFont="1" applyFill="1" applyBorder="1" applyAlignment="1">
      <alignment horizontal="center" vertical="distributed" wrapText="1"/>
    </xf>
    <xf numFmtId="174" fontId="74" fillId="28" borderId="33" xfId="1" applyNumberFormat="1" applyFont="1" applyFill="1" applyBorder="1" applyAlignment="1">
      <alignment horizontal="center" vertical="distributed" wrapText="1"/>
    </xf>
    <xf numFmtId="192" fontId="74" fillId="28" borderId="33" xfId="3032" applyNumberFormat="1" applyFont="1" applyFill="1" applyBorder="1" applyAlignment="1">
      <alignment horizontal="center" vertical="center" wrapText="1"/>
    </xf>
    <xf numFmtId="0" fontId="74" fillId="28" borderId="37" xfId="283" applyFont="1" applyFill="1" applyBorder="1" applyAlignment="1">
      <alignment horizontal="left" vertical="center" wrapText="1"/>
    </xf>
    <xf numFmtId="174" fontId="74" fillId="28" borderId="37" xfId="1" applyNumberFormat="1" applyFont="1" applyFill="1" applyBorder="1" applyAlignment="1">
      <alignment horizontal="center" vertical="distributed" wrapText="1"/>
    </xf>
    <xf numFmtId="192" fontId="74" fillId="28" borderId="37" xfId="3032" applyNumberFormat="1" applyFont="1" applyFill="1" applyBorder="1" applyAlignment="1">
      <alignment horizontal="center" vertical="center" wrapText="1"/>
    </xf>
    <xf numFmtId="169" fontId="151" fillId="29" borderId="13" xfId="1" applyNumberFormat="1" applyFont="1" applyFill="1" applyBorder="1" applyAlignment="1">
      <alignment horizontal="center" vertical="center" wrapText="1"/>
    </xf>
    <xf numFmtId="0" fontId="90" fillId="28" borderId="37" xfId="3032" applyFont="1" applyFill="1" applyBorder="1" applyAlignment="1">
      <alignment horizontal="center" vertical="distributed" wrapText="1"/>
    </xf>
    <xf numFmtId="169" fontId="4" fillId="0" borderId="0" xfId="3032" applyNumberFormat="1" applyAlignment="1">
      <alignment horizontal="right"/>
    </xf>
    <xf numFmtId="169" fontId="152" fillId="29" borderId="13" xfId="1" applyNumberFormat="1" applyFont="1" applyFill="1" applyBorder="1" applyAlignment="1">
      <alignment horizontal="center" vertical="center" wrapText="1"/>
    </xf>
    <xf numFmtId="49" fontId="74" fillId="28" borderId="37" xfId="283" applyNumberFormat="1" applyFont="1" applyFill="1" applyBorder="1" applyAlignment="1">
      <alignment horizontal="center" vertical="center" wrapText="1"/>
    </xf>
    <xf numFmtId="1" fontId="74" fillId="28" borderId="38" xfId="3032" applyNumberFormat="1" applyFont="1" applyFill="1" applyBorder="1" applyAlignment="1">
      <alignment horizontal="center" vertical="center" wrapText="1"/>
    </xf>
    <xf numFmtId="1" fontId="74" fillId="28" borderId="44" xfId="3032" applyNumberFormat="1" applyFont="1" applyFill="1" applyBorder="1" applyAlignment="1">
      <alignment horizontal="center" vertical="center" wrapText="1"/>
    </xf>
    <xf numFmtId="2" fontId="74" fillId="28" borderId="36" xfId="3032" applyNumberFormat="1" applyFont="1" applyFill="1" applyBorder="1" applyAlignment="1">
      <alignment horizontal="center" vertical="center" wrapText="1"/>
    </xf>
    <xf numFmtId="1" fontId="74" fillId="28" borderId="38" xfId="3032" applyNumberFormat="1" applyFont="1" applyFill="1" applyBorder="1" applyAlignment="1">
      <alignment horizontal="right" vertical="center" wrapText="1"/>
    </xf>
    <xf numFmtId="2" fontId="74" fillId="28" borderId="36" xfId="3032" applyNumberFormat="1" applyFont="1" applyFill="1" applyBorder="1" applyAlignment="1">
      <alignment horizontal="left" vertical="center" wrapText="1"/>
    </xf>
    <xf numFmtId="0" fontId="74" fillId="28" borderId="37" xfId="3032" applyFont="1" applyFill="1" applyBorder="1" applyAlignment="1">
      <alignment horizontal="center" vertical="center" wrapText="1"/>
    </xf>
    <xf numFmtId="43" fontId="74" fillId="28" borderId="38" xfId="1" applyFont="1" applyFill="1" applyBorder="1" applyAlignment="1">
      <alignment horizontal="center" vertical="center" wrapText="1"/>
    </xf>
    <xf numFmtId="43" fontId="74" fillId="28" borderId="37" xfId="1" applyFont="1" applyFill="1" applyBorder="1" applyAlignment="1">
      <alignment horizontal="center" vertical="center" wrapText="1"/>
    </xf>
    <xf numFmtId="43" fontId="74" fillId="28" borderId="36" xfId="1" applyFont="1" applyFill="1" applyBorder="1" applyAlignment="1">
      <alignment horizontal="center" vertical="center" wrapText="1"/>
    </xf>
    <xf numFmtId="43" fontId="74" fillId="28" borderId="44" xfId="1" applyFont="1" applyFill="1" applyBorder="1" applyAlignment="1">
      <alignment horizontal="center" vertical="center" wrapText="1"/>
    </xf>
    <xf numFmtId="43" fontId="74" fillId="28" borderId="38" xfId="1" applyFont="1" applyFill="1" applyBorder="1" applyAlignment="1">
      <alignment horizontal="center" vertical="distributed" wrapText="1"/>
    </xf>
    <xf numFmtId="43" fontId="74" fillId="28" borderId="37" xfId="1" applyFont="1" applyFill="1" applyBorder="1" applyAlignment="1">
      <alignment horizontal="center" vertical="distributed" wrapText="1"/>
    </xf>
    <xf numFmtId="0" fontId="74" fillId="28" borderId="37" xfId="3032" applyFont="1" applyFill="1" applyBorder="1" applyAlignment="1">
      <alignment horizontal="left" vertical="distributed" wrapText="1"/>
    </xf>
    <xf numFmtId="0" fontId="3" fillId="0" borderId="30" xfId="3032" applyFont="1" applyBorder="1" applyAlignment="1">
      <alignment horizontal="left" vertical="distributed" wrapText="1"/>
    </xf>
    <xf numFmtId="0" fontId="60" fillId="25" borderId="96" xfId="3041" applyFont="1" applyFill="1" applyBorder="1" applyAlignment="1" applyProtection="1">
      <alignment horizontal="center" vertical="center"/>
      <protection locked="0"/>
    </xf>
    <xf numFmtId="4" fontId="60" fillId="25" borderId="96" xfId="3041" applyNumberFormat="1" applyFont="1" applyFill="1" applyBorder="1" applyAlignment="1" applyProtection="1">
      <alignment horizontal="center" vertical="center"/>
      <protection locked="0"/>
    </xf>
    <xf numFmtId="0" fontId="47" fillId="28" borderId="107" xfId="0" applyFont="1" applyFill="1" applyBorder="1" applyAlignment="1">
      <alignment horizontal="center" vertical="center"/>
    </xf>
    <xf numFmtId="0" fontId="61" fillId="0" borderId="107" xfId="3042" applyFont="1" applyBorder="1" applyAlignment="1">
      <alignment horizontal="justify" vertical="center" wrapText="1"/>
    </xf>
    <xf numFmtId="43" fontId="4" fillId="0" borderId="132" xfId="1" applyFont="1" applyBorder="1" applyAlignment="1">
      <alignment horizontal="center" vertical="center" wrapText="1"/>
    </xf>
    <xf numFmtId="0" fontId="47" fillId="28" borderId="53" xfId="0" applyFont="1" applyFill="1" applyBorder="1" applyAlignment="1">
      <alignment horizontal="center" vertical="center"/>
    </xf>
    <xf numFmtId="0" fontId="61" fillId="0" borderId="53" xfId="3042" applyFont="1" applyBorder="1" applyAlignment="1">
      <alignment horizontal="justify" vertical="center" wrapText="1"/>
    </xf>
    <xf numFmtId="43" fontId="4" fillId="0" borderId="135" xfId="1" applyFont="1" applyBorder="1" applyAlignment="1">
      <alignment horizontal="center" vertical="center" wrapText="1"/>
    </xf>
    <xf numFmtId="0" fontId="4" fillId="0" borderId="126" xfId="3044" applyFont="1" applyBorder="1" applyAlignment="1">
      <alignment horizontal="center" vertical="center"/>
    </xf>
    <xf numFmtId="0" fontId="47" fillId="28" borderId="126" xfId="0" applyFont="1" applyFill="1" applyBorder="1" applyAlignment="1">
      <alignment horizontal="center" vertical="center"/>
    </xf>
    <xf numFmtId="0" fontId="47" fillId="28" borderId="45" xfId="0" applyFont="1" applyFill="1" applyBorder="1" applyAlignment="1">
      <alignment horizontal="center" vertical="center"/>
    </xf>
    <xf numFmtId="43" fontId="4" fillId="0" borderId="125" xfId="1" applyFont="1" applyFill="1" applyBorder="1" applyAlignment="1">
      <alignment horizontal="center" vertical="center" wrapText="1"/>
    </xf>
    <xf numFmtId="2" fontId="54" fillId="29" borderId="59" xfId="3042" applyNumberFormat="1" applyFont="1" applyFill="1" applyBorder="1" applyAlignment="1">
      <alignment horizontal="center" vertical="center"/>
    </xf>
    <xf numFmtId="2" fontId="24" fillId="29" borderId="82" xfId="0" applyNumberFormat="1" applyFont="1" applyFill="1" applyBorder="1" applyAlignment="1">
      <alignment horizontal="center" vertical="center"/>
    </xf>
    <xf numFmtId="1" fontId="24" fillId="29" borderId="82" xfId="3045" applyNumberFormat="1" applyFont="1" applyFill="1" applyBorder="1" applyAlignment="1">
      <alignment horizontal="center" vertical="center"/>
    </xf>
    <xf numFmtId="0" fontId="4" fillId="0" borderId="0" xfId="3032" applyAlignment="1">
      <alignment horizontal="left"/>
    </xf>
    <xf numFmtId="0" fontId="4" fillId="0" borderId="100" xfId="3032" applyBorder="1"/>
    <xf numFmtId="2" fontId="4" fillId="0" borderId="8" xfId="3032" applyNumberFormat="1" applyBorder="1"/>
    <xf numFmtId="0" fontId="4" fillId="0" borderId="10" xfId="3032" applyBorder="1"/>
    <xf numFmtId="0" fontId="26" fillId="29" borderId="106" xfId="0" applyFont="1" applyFill="1" applyBorder="1" applyAlignment="1">
      <alignment horizontal="left" vertical="center"/>
    </xf>
    <xf numFmtId="2" fontId="47" fillId="28" borderId="107" xfId="0" applyNumberFormat="1" applyFont="1" applyFill="1" applyBorder="1" applyAlignment="1">
      <alignment horizontal="center" vertical="center"/>
    </xf>
    <xf numFmtId="0" fontId="27" fillId="28" borderId="107" xfId="0" applyFont="1" applyFill="1" applyBorder="1" applyAlignment="1">
      <alignment horizontal="center" vertical="center"/>
    </xf>
    <xf numFmtId="191" fontId="4" fillId="0" borderId="130" xfId="3036" applyFont="1" applyBorder="1" applyAlignment="1">
      <alignment horizontal="center" vertical="center" wrapText="1"/>
    </xf>
    <xf numFmtId="209" fontId="4" fillId="0" borderId="131" xfId="3036" applyNumberFormat="1" applyFont="1" applyBorder="1" applyAlignment="1">
      <alignment horizontal="center" vertical="center" wrapText="1"/>
    </xf>
    <xf numFmtId="209" fontId="4" fillId="0" borderId="130" xfId="3036" applyNumberFormat="1" applyFont="1" applyBorder="1" applyAlignment="1">
      <alignment horizontal="center" vertical="center" wrapText="1"/>
    </xf>
    <xf numFmtId="2" fontId="47" fillId="28" borderId="53" xfId="0" applyNumberFormat="1" applyFont="1" applyFill="1" applyBorder="1" applyAlignment="1">
      <alignment horizontal="center" vertical="center"/>
    </xf>
    <xf numFmtId="0" fontId="27" fillId="28" borderId="53" xfId="0" applyFont="1" applyFill="1" applyBorder="1" applyAlignment="1">
      <alignment horizontal="center" vertical="center"/>
    </xf>
    <xf numFmtId="191" fontId="4" fillId="0" borderId="133" xfId="3036" applyFont="1" applyBorder="1" applyAlignment="1">
      <alignment horizontal="center" vertical="center" wrapText="1"/>
    </xf>
    <xf numFmtId="209" fontId="4" fillId="0" borderId="134" xfId="3036" applyNumberFormat="1" applyFont="1" applyBorder="1" applyAlignment="1">
      <alignment horizontal="center" vertical="center" wrapText="1"/>
    </xf>
    <xf numFmtId="209" fontId="4" fillId="0" borderId="133" xfId="3036" applyNumberFormat="1" applyFont="1" applyBorder="1" applyAlignment="1">
      <alignment horizontal="center" vertical="center" wrapText="1"/>
    </xf>
    <xf numFmtId="191" fontId="4" fillId="0" borderId="135" xfId="3036" applyFont="1" applyFill="1" applyBorder="1" applyAlignment="1">
      <alignment horizontal="center" vertical="center" wrapText="1"/>
    </xf>
    <xf numFmtId="2" fontId="47" fillId="28" borderId="33" xfId="0" applyNumberFormat="1" applyFont="1" applyFill="1" applyBorder="1" applyAlignment="1">
      <alignment horizontal="center" vertical="center"/>
    </xf>
    <xf numFmtId="0" fontId="27" fillId="28" borderId="33" xfId="0" applyFont="1" applyFill="1" applyBorder="1" applyAlignment="1">
      <alignment horizontal="center" vertical="center"/>
    </xf>
    <xf numFmtId="191" fontId="4" fillId="0" borderId="73" xfId="3036" applyFont="1" applyBorder="1" applyAlignment="1">
      <alignment horizontal="center" vertical="center" wrapText="1"/>
    </xf>
    <xf numFmtId="209" fontId="4" fillId="0" borderId="66" xfId="3036" applyNumberFormat="1" applyFont="1" applyBorder="1" applyAlignment="1">
      <alignment horizontal="center" vertical="center" wrapText="1"/>
    </xf>
    <xf numFmtId="209" fontId="4" fillId="0" borderId="73" xfId="3036" applyNumberFormat="1" applyFont="1" applyBorder="1" applyAlignment="1">
      <alignment horizontal="center" vertical="center" wrapText="1"/>
    </xf>
    <xf numFmtId="191" fontId="4" fillId="0" borderId="74" xfId="3036" applyFont="1" applyFill="1" applyBorder="1" applyAlignment="1">
      <alignment horizontal="center" vertical="center" wrapText="1"/>
    </xf>
    <xf numFmtId="2" fontId="47" fillId="28" borderId="45" xfId="0" applyNumberFormat="1" applyFont="1" applyFill="1" applyBorder="1" applyAlignment="1">
      <alignment horizontal="center" vertical="center"/>
    </xf>
    <xf numFmtId="0" fontId="27" fillId="28" borderId="45" xfId="0" applyFont="1" applyFill="1" applyBorder="1" applyAlignment="1">
      <alignment horizontal="center" vertical="center"/>
    </xf>
    <xf numFmtId="191" fontId="4" fillId="0" borderId="65" xfId="3036" applyFont="1" applyBorder="1" applyAlignment="1">
      <alignment horizontal="center" vertical="center" wrapText="1"/>
    </xf>
    <xf numFmtId="209" fontId="4" fillId="0" borderId="63" xfId="3036" applyNumberFormat="1" applyFont="1" applyBorder="1" applyAlignment="1">
      <alignment horizontal="center" vertical="center" wrapText="1"/>
    </xf>
    <xf numFmtId="209" fontId="4" fillId="0" borderId="65" xfId="3036" applyNumberFormat="1" applyFont="1" applyBorder="1" applyAlignment="1">
      <alignment horizontal="center" vertical="center" wrapText="1"/>
    </xf>
    <xf numFmtId="191" fontId="4" fillId="0" borderId="67" xfId="3036" applyFont="1" applyFill="1" applyBorder="1" applyAlignment="1">
      <alignment horizontal="center" vertical="center" wrapText="1"/>
    </xf>
    <xf numFmtId="2" fontId="47" fillId="28" borderId="126" xfId="0" applyNumberFormat="1" applyFont="1" applyFill="1" applyBorder="1" applyAlignment="1">
      <alignment horizontal="center" vertical="center"/>
    </xf>
    <xf numFmtId="0" fontId="27" fillId="28" borderId="126" xfId="0" applyFont="1" applyFill="1" applyBorder="1" applyAlignment="1">
      <alignment horizontal="center" vertical="center"/>
    </xf>
    <xf numFmtId="191" fontId="4" fillId="0" borderId="123" xfId="3036" applyFont="1" applyBorder="1" applyAlignment="1">
      <alignment horizontal="center" vertical="center" wrapText="1"/>
    </xf>
    <xf numFmtId="209" fontId="4" fillId="0" borderId="124" xfId="3036" applyNumberFormat="1" applyFont="1" applyBorder="1" applyAlignment="1">
      <alignment horizontal="center" vertical="center" wrapText="1"/>
    </xf>
    <xf numFmtId="209" fontId="4" fillId="0" borderId="123" xfId="3036" applyNumberFormat="1" applyFont="1" applyBorder="1" applyAlignment="1">
      <alignment horizontal="center" vertical="center" wrapText="1"/>
    </xf>
    <xf numFmtId="191" fontId="4" fillId="0" borderId="125" xfId="3036" applyFont="1" applyFill="1" applyBorder="1" applyAlignment="1">
      <alignment horizontal="center" vertical="center" wrapText="1"/>
    </xf>
    <xf numFmtId="191" fontId="4" fillId="0" borderId="123" xfId="3036" applyFont="1" applyFill="1" applyBorder="1" applyAlignment="1">
      <alignment horizontal="center" vertical="center" wrapText="1"/>
    </xf>
    <xf numFmtId="209" fontId="4" fillId="0" borderId="124" xfId="3036" applyNumberFormat="1" applyFont="1" applyFill="1" applyBorder="1" applyAlignment="1">
      <alignment horizontal="center" vertical="center" wrapText="1"/>
    </xf>
    <xf numFmtId="209" fontId="4" fillId="0" borderId="123" xfId="3036" applyNumberFormat="1" applyFont="1" applyFill="1" applyBorder="1" applyAlignment="1">
      <alignment horizontal="center" vertical="center" wrapText="1"/>
    </xf>
    <xf numFmtId="43" fontId="26" fillId="29" borderId="105" xfId="1" applyFont="1" applyFill="1" applyBorder="1" applyAlignment="1">
      <alignment horizontal="right" vertical="center" wrapText="1"/>
    </xf>
    <xf numFmtId="191" fontId="4" fillId="0" borderId="65" xfId="3036" applyFont="1" applyFill="1" applyBorder="1" applyAlignment="1">
      <alignment horizontal="center" vertical="center" wrapText="1"/>
    </xf>
    <xf numFmtId="209" fontId="4" fillId="0" borderId="63" xfId="3036" applyNumberFormat="1" applyFont="1" applyFill="1" applyBorder="1" applyAlignment="1">
      <alignment horizontal="center" vertical="center" wrapText="1"/>
    </xf>
    <xf numFmtId="209" fontId="4" fillId="0" borderId="65" xfId="3036" applyNumberFormat="1" applyFont="1" applyFill="1" applyBorder="1" applyAlignment="1">
      <alignment horizontal="center" vertical="center" wrapText="1"/>
    </xf>
    <xf numFmtId="191" fontId="4" fillId="0" borderId="74" xfId="3036" applyFont="1" applyBorder="1" applyAlignment="1">
      <alignment horizontal="center" vertical="center" wrapText="1"/>
    </xf>
    <xf numFmtId="191" fontId="4" fillId="0" borderId="67" xfId="3036" applyFont="1" applyBorder="1" applyAlignment="1">
      <alignment horizontal="center" vertical="center" wrapText="1"/>
    </xf>
    <xf numFmtId="191" fontId="4" fillId="0" borderId="125" xfId="3036" applyFont="1" applyBorder="1" applyAlignment="1">
      <alignment horizontal="center" vertical="center" wrapText="1"/>
    </xf>
    <xf numFmtId="169" fontId="26" fillId="29" borderId="104" xfId="3044" applyNumberFormat="1" applyFont="1" applyFill="1" applyBorder="1" applyAlignment="1">
      <alignment vertical="center" wrapText="1"/>
    </xf>
    <xf numFmtId="2" fontId="26" fillId="0" borderId="0" xfId="3044" applyNumberFormat="1" applyFont="1" applyAlignment="1">
      <alignment horizontal="center" vertical="center" wrapText="1"/>
    </xf>
    <xf numFmtId="0" fontId="26" fillId="0" borderId="0" xfId="3044" applyFont="1" applyAlignment="1">
      <alignment horizontal="center" vertical="center" wrapText="1"/>
    </xf>
    <xf numFmtId="0" fontId="159" fillId="0" borderId="0" xfId="3044" applyFont="1" applyAlignment="1">
      <alignment horizontal="right" vertical="center"/>
    </xf>
    <xf numFmtId="169" fontId="26" fillId="0" borderId="0" xfId="3044" applyNumberFormat="1" applyFont="1" applyAlignment="1">
      <alignment vertical="center" wrapText="1"/>
    </xf>
    <xf numFmtId="0" fontId="27" fillId="0" borderId="0" xfId="3044" applyFont="1" applyAlignment="1">
      <alignment horizontal="right" vertical="center" wrapText="1"/>
    </xf>
    <xf numFmtId="0" fontId="57" fillId="0" borderId="0" xfId="3044" applyFont="1" applyAlignment="1">
      <alignment horizontal="center" vertical="center" wrapText="1"/>
    </xf>
    <xf numFmtId="2" fontId="104" fillId="0" borderId="0" xfId="0" applyNumberFormat="1" applyFont="1"/>
    <xf numFmtId="1" fontId="3" fillId="0" borderId="106" xfId="0" applyNumberFormat="1" applyFont="1" applyBorder="1" applyAlignment="1">
      <alignment vertical="center"/>
    </xf>
    <xf numFmtId="0" fontId="6" fillId="0" borderId="36" xfId="3032" applyFont="1" applyBorder="1" applyAlignment="1">
      <alignment horizontal="center" vertical="center"/>
    </xf>
    <xf numFmtId="0" fontId="3" fillId="28" borderId="82" xfId="439" applyFont="1" applyFill="1" applyBorder="1"/>
    <xf numFmtId="0" fontId="114" fillId="0" borderId="103" xfId="0" applyFont="1" applyBorder="1" applyAlignment="1">
      <alignment vertical="center"/>
    </xf>
    <xf numFmtId="0" fontId="114" fillId="0" borderId="101" xfId="0" applyFont="1" applyBorder="1" applyAlignment="1">
      <alignment vertical="center"/>
    </xf>
    <xf numFmtId="0" fontId="4" fillId="28" borderId="82" xfId="0" applyFont="1" applyFill="1" applyBorder="1" applyAlignment="1">
      <alignment vertical="center"/>
    </xf>
    <xf numFmtId="0" fontId="28" fillId="37" borderId="13" xfId="0" applyFont="1" applyFill="1" applyBorder="1" applyAlignment="1">
      <alignment horizontal="center" vertical="center"/>
    </xf>
    <xf numFmtId="0" fontId="90" fillId="28" borderId="82" xfId="0" applyFont="1" applyFill="1" applyBorder="1" applyAlignment="1">
      <alignment horizontal="left" vertical="center"/>
    </xf>
    <xf numFmtId="0" fontId="0" fillId="0" borderId="82" xfId="0" applyBorder="1" applyAlignment="1">
      <alignment vertical="center"/>
    </xf>
    <xf numFmtId="0" fontId="28" fillId="0" borderId="122" xfId="0" applyFont="1" applyBorder="1" applyAlignment="1">
      <alignment vertical="center"/>
    </xf>
    <xf numFmtId="0" fontId="0" fillId="34" borderId="82" xfId="0" applyFill="1" applyBorder="1" applyAlignment="1">
      <alignment horizontal="center" vertical="center"/>
    </xf>
    <xf numFmtId="0" fontId="85" fillId="0" borderId="13" xfId="0" applyFont="1" applyBorder="1" applyAlignment="1">
      <alignment horizontal="center" vertical="center"/>
    </xf>
    <xf numFmtId="0" fontId="4" fillId="0" borderId="13" xfId="0" applyFont="1" applyBorder="1" applyAlignment="1">
      <alignment horizontal="justify" vertical="center" wrapText="1"/>
    </xf>
    <xf numFmtId="0" fontId="61" fillId="0" borderId="13" xfId="0" applyFont="1" applyBorder="1" applyAlignment="1">
      <alignment horizontal="justify" vertical="center" wrapText="1"/>
    </xf>
    <xf numFmtId="0" fontId="108" fillId="32" borderId="82" xfId="0" applyFont="1" applyFill="1" applyBorder="1" applyAlignment="1">
      <alignment horizontal="justify" vertical="center" wrapText="1"/>
    </xf>
    <xf numFmtId="0" fontId="59" fillId="0" borderId="0" xfId="0" applyFont="1"/>
    <xf numFmtId="43" fontId="52" fillId="0" borderId="0" xfId="1" applyFont="1" applyBorder="1" applyAlignment="1">
      <alignment horizontal="center" vertical="center"/>
    </xf>
    <xf numFmtId="2" fontId="148" fillId="0" borderId="82" xfId="0" applyNumberFormat="1" applyFont="1" applyBorder="1" applyAlignment="1">
      <alignment horizontal="center" vertical="center"/>
    </xf>
    <xf numFmtId="1" fontId="148" fillId="0" borderId="82" xfId="3043" applyNumberFormat="1" applyFont="1" applyBorder="1" applyAlignment="1">
      <alignment horizontal="center" vertical="center"/>
    </xf>
    <xf numFmtId="0" fontId="61" fillId="0" borderId="82" xfId="3042" applyFont="1" applyBorder="1" applyAlignment="1">
      <alignment horizontal="justify" vertical="center" wrapText="1"/>
    </xf>
    <xf numFmtId="0" fontId="4" fillId="0" borderId="82" xfId="3044" applyFont="1" applyBorder="1" applyAlignment="1">
      <alignment horizontal="center" vertical="center"/>
    </xf>
    <xf numFmtId="191" fontId="4" fillId="0" borderId="71" xfId="3036" applyFont="1" applyBorder="1" applyAlignment="1">
      <alignment horizontal="center" vertical="center" wrapText="1"/>
    </xf>
    <xf numFmtId="209" fontId="4" fillId="0" borderId="69" xfId="3036" applyNumberFormat="1" applyFont="1" applyBorder="1" applyAlignment="1">
      <alignment horizontal="center" vertical="center" wrapText="1"/>
    </xf>
    <xf numFmtId="43" fontId="4" fillId="0" borderId="111" xfId="1" applyFont="1" applyBorder="1" applyAlignment="1">
      <alignment horizontal="center" vertical="center" wrapText="1"/>
    </xf>
    <xf numFmtId="209" fontId="4" fillId="0" borderId="71" xfId="3036" applyNumberFormat="1" applyFont="1" applyBorder="1" applyAlignment="1">
      <alignment horizontal="center" vertical="center" wrapText="1"/>
    </xf>
    <xf numFmtId="191" fontId="4" fillId="0" borderId="111" xfId="3036" applyFont="1" applyBorder="1" applyAlignment="1">
      <alignment horizontal="center" vertical="center" wrapText="1"/>
    </xf>
    <xf numFmtId="0" fontId="0" fillId="0" borderId="109" xfId="0" applyBorder="1" applyAlignment="1">
      <alignment horizontal="center" vertical="center"/>
    </xf>
    <xf numFmtId="0" fontId="4" fillId="28" borderId="93" xfId="3052" applyFont="1" applyFill="1" applyBorder="1" applyAlignment="1">
      <alignment horizontal="left" vertical="center" wrapText="1"/>
    </xf>
    <xf numFmtId="0" fontId="54" fillId="25" borderId="109" xfId="3042" applyFont="1" applyFill="1" applyBorder="1" applyAlignment="1">
      <alignment vertical="center"/>
    </xf>
    <xf numFmtId="0" fontId="4" fillId="28" borderId="82" xfId="439" applyFill="1" applyBorder="1"/>
    <xf numFmtId="0" fontId="53" fillId="25" borderId="82" xfId="0" applyFont="1" applyFill="1" applyBorder="1" applyAlignment="1">
      <alignment horizontal="center" vertical="center"/>
    </xf>
    <xf numFmtId="0" fontId="88" fillId="31" borderId="82" xfId="0" applyFont="1" applyFill="1" applyBorder="1" applyAlignment="1">
      <alignment wrapText="1"/>
    </xf>
    <xf numFmtId="0" fontId="26" fillId="26" borderId="106" xfId="3044" applyFont="1" applyFill="1" applyBorder="1" applyAlignment="1">
      <alignment horizontal="left" vertical="center" wrapText="1"/>
    </xf>
    <xf numFmtId="0" fontId="26" fillId="26" borderId="106" xfId="3044" applyFont="1" applyFill="1" applyBorder="1" applyAlignment="1">
      <alignment horizontal="right" vertical="center"/>
    </xf>
    <xf numFmtId="43" fontId="26" fillId="26" borderId="105" xfId="1" applyFont="1" applyFill="1" applyBorder="1" applyAlignment="1">
      <alignment horizontal="right" vertical="center" wrapText="1"/>
    </xf>
    <xf numFmtId="169" fontId="26" fillId="26" borderId="106" xfId="3044" applyNumberFormat="1" applyFont="1" applyFill="1" applyBorder="1" applyAlignment="1">
      <alignment vertical="center" wrapText="1"/>
    </xf>
    <xf numFmtId="0" fontId="27" fillId="28" borderId="109" xfId="430" applyFont="1" applyFill="1" applyBorder="1" applyAlignment="1">
      <alignment wrapText="1"/>
    </xf>
    <xf numFmtId="0" fontId="48" fillId="46" borderId="14" xfId="0" applyFont="1" applyFill="1" applyBorder="1" applyAlignment="1">
      <alignment horizontal="center" vertical="center"/>
    </xf>
    <xf numFmtId="0" fontId="47" fillId="0" borderId="106" xfId="0" applyFont="1" applyBorder="1" applyAlignment="1">
      <alignment vertical="center"/>
    </xf>
    <xf numFmtId="0" fontId="47" fillId="0" borderId="105" xfId="0" applyFont="1" applyBorder="1" applyAlignment="1">
      <alignment vertical="center"/>
    </xf>
    <xf numFmtId="0" fontId="27" fillId="0" borderId="126" xfId="58" applyFont="1" applyBorder="1" applyAlignment="1">
      <alignment horizontal="justify" vertical="center" wrapText="1"/>
    </xf>
    <xf numFmtId="1" fontId="3" fillId="28" borderId="31" xfId="3032" applyNumberFormat="1" applyFont="1" applyFill="1" applyBorder="1" applyAlignment="1">
      <alignment horizontal="right" vertical="center" wrapText="1"/>
    </xf>
    <xf numFmtId="2" fontId="3" fillId="28" borderId="29" xfId="3032" applyNumberFormat="1" applyFont="1" applyFill="1" applyBorder="1" applyAlignment="1">
      <alignment horizontal="left" vertical="center" wrapText="1"/>
    </xf>
    <xf numFmtId="43" fontId="3" fillId="28" borderId="31" xfId="1" applyFont="1" applyFill="1" applyBorder="1" applyAlignment="1">
      <alignment horizontal="center" vertical="center" wrapText="1"/>
    </xf>
    <xf numFmtId="212" fontId="3" fillId="47" borderId="107" xfId="5873" applyNumberFormat="1" applyFont="1" applyFill="1" applyBorder="1" applyAlignment="1" applyProtection="1">
      <alignment horizontal="center" vertical="distributed" wrapText="1"/>
    </xf>
    <xf numFmtId="1" fontId="28" fillId="28" borderId="33" xfId="3032" applyNumberFormat="1" applyFont="1" applyFill="1" applyBorder="1" applyAlignment="1">
      <alignment horizontal="center" vertical="center" wrapText="1"/>
    </xf>
    <xf numFmtId="174" fontId="3" fillId="28" borderId="46" xfId="1" applyNumberFormat="1" applyFont="1" applyFill="1" applyBorder="1" applyAlignment="1">
      <alignment horizontal="center" vertical="distributed" wrapText="1"/>
    </xf>
    <xf numFmtId="207" fontId="3" fillId="47" borderId="108" xfId="5873" applyFont="1" applyFill="1" applyBorder="1" applyAlignment="1" applyProtection="1">
      <alignment horizontal="center" vertical="distributed" wrapText="1"/>
    </xf>
    <xf numFmtId="207" fontId="3" fillId="47" borderId="107" xfId="5873" applyFont="1" applyFill="1" applyBorder="1" applyAlignment="1" applyProtection="1">
      <alignment horizontal="center" vertical="center" wrapText="1"/>
    </xf>
    <xf numFmtId="207" fontId="3" fillId="47" borderId="110" xfId="5873" applyFont="1" applyFill="1" applyBorder="1" applyAlignment="1" applyProtection="1">
      <alignment horizontal="center" vertical="distributed" wrapText="1"/>
    </xf>
    <xf numFmtId="43" fontId="3" fillId="28" borderId="107" xfId="1" applyFont="1" applyFill="1" applyBorder="1" applyAlignment="1">
      <alignment horizontal="center" vertical="distributed" wrapText="1"/>
    </xf>
    <xf numFmtId="192" fontId="3" fillId="28" borderId="107" xfId="3032" applyNumberFormat="1" applyFont="1" applyFill="1" applyBorder="1" applyAlignment="1">
      <alignment horizontal="center" vertical="center" wrapText="1"/>
    </xf>
    <xf numFmtId="0" fontId="3" fillId="0" borderId="33" xfId="3032" applyFont="1" applyBorder="1" applyAlignment="1">
      <alignment vertical="distributed" wrapText="1"/>
    </xf>
    <xf numFmtId="17" fontId="3" fillId="28" borderId="30" xfId="283" applyNumberFormat="1" applyFont="1" applyFill="1" applyBorder="1" applyAlignment="1">
      <alignment horizontal="left" vertical="center" wrapText="1"/>
    </xf>
    <xf numFmtId="4" fontId="71" fillId="32" borderId="0" xfId="0" applyNumberFormat="1" applyFont="1" applyFill="1"/>
    <xf numFmtId="0" fontId="71" fillId="32" borderId="0" xfId="0" applyFont="1" applyFill="1"/>
    <xf numFmtId="0" fontId="90" fillId="0" borderId="109" xfId="0" applyFont="1" applyBorder="1" applyAlignment="1">
      <alignment vertical="center"/>
    </xf>
    <xf numFmtId="174" fontId="3" fillId="0" borderId="107" xfId="1" applyNumberFormat="1" applyFont="1" applyFill="1" applyBorder="1" applyAlignment="1">
      <alignment vertical="center" wrapText="1"/>
    </xf>
    <xf numFmtId="0" fontId="66" fillId="29" borderId="0" xfId="3032" applyFont="1" applyFill="1" applyAlignment="1">
      <alignment horizontal="left" vertical="center"/>
    </xf>
    <xf numFmtId="0" fontId="67" fillId="29" borderId="0" xfId="3032" applyFont="1" applyFill="1" applyAlignment="1">
      <alignment horizontal="left" vertical="center"/>
    </xf>
    <xf numFmtId="0" fontId="84" fillId="29" borderId="0" xfId="3032" applyFont="1" applyFill="1" applyAlignment="1">
      <alignment horizontal="left" vertical="center"/>
    </xf>
    <xf numFmtId="0" fontId="84" fillId="29" borderId="0" xfId="430" applyFont="1" applyFill="1" applyAlignment="1">
      <alignment horizontal="right" vertical="center"/>
    </xf>
    <xf numFmtId="49" fontId="63" fillId="29" borderId="0" xfId="430" applyNumberFormat="1" applyFont="1" applyFill="1" applyAlignment="1">
      <alignment horizontal="left" vertical="center"/>
    </xf>
    <xf numFmtId="49" fontId="84" fillId="29" borderId="0" xfId="430" applyNumberFormat="1" applyFont="1" applyFill="1" applyAlignment="1">
      <alignment horizontal="left" vertical="center"/>
    </xf>
    <xf numFmtId="0" fontId="63" fillId="29" borderId="0" xfId="430" applyFont="1" applyFill="1" applyAlignment="1">
      <alignment horizontal="left" vertical="center"/>
    </xf>
    <xf numFmtId="0" fontId="84" fillId="29" borderId="0" xfId="430" applyFont="1" applyFill="1" applyAlignment="1">
      <alignment horizontal="left" vertical="center"/>
    </xf>
    <xf numFmtId="0" fontId="67" fillId="29" borderId="0" xfId="439" applyFont="1" applyFill="1" applyAlignment="1">
      <alignment vertical="center"/>
    </xf>
    <xf numFmtId="44" fontId="67" fillId="0" borderId="13" xfId="3033" applyFont="1" applyFill="1" applyBorder="1" applyAlignment="1" applyProtection="1">
      <alignment horizontal="center" vertical="center"/>
      <protection hidden="1"/>
    </xf>
    <xf numFmtId="2" fontId="66" fillId="36" borderId="104" xfId="439" applyNumberFormat="1" applyFont="1" applyFill="1" applyBorder="1" applyAlignment="1" applyProtection="1">
      <alignment horizontal="center" vertical="center"/>
      <protection hidden="1"/>
    </xf>
    <xf numFmtId="196" fontId="68" fillId="36" borderId="106" xfId="439" applyNumberFormat="1" applyFont="1" applyFill="1" applyBorder="1" applyAlignment="1" applyProtection="1">
      <alignment horizontal="center" vertical="center" wrapText="1"/>
      <protection hidden="1"/>
    </xf>
    <xf numFmtId="196" fontId="68" fillId="36" borderId="105" xfId="439" applyNumberFormat="1" applyFont="1" applyFill="1" applyBorder="1" applyAlignment="1" applyProtection="1">
      <alignment horizontal="center" vertical="center" wrapText="1"/>
      <protection hidden="1"/>
    </xf>
    <xf numFmtId="44" fontId="67" fillId="0" borderId="13" xfId="3033" applyFont="1" applyBorder="1" applyAlignment="1" applyProtection="1">
      <alignment horizontal="center" vertical="center"/>
      <protection hidden="1"/>
    </xf>
    <xf numFmtId="0" fontId="65" fillId="29" borderId="8" xfId="439" applyFont="1" applyFill="1" applyBorder="1"/>
    <xf numFmtId="0" fontId="65" fillId="29" borderId="10" xfId="439" applyFont="1" applyFill="1" applyBorder="1"/>
    <xf numFmtId="169" fontId="4" fillId="28" borderId="0" xfId="3032" applyNumberFormat="1" applyFill="1" applyAlignment="1">
      <alignment horizontal="right" vertical="center"/>
    </xf>
    <xf numFmtId="0" fontId="54" fillId="29" borderId="82" xfId="0" applyFont="1" applyFill="1" applyBorder="1" applyAlignment="1">
      <alignment horizontal="center" vertical="center"/>
    </xf>
    <xf numFmtId="187" fontId="3" fillId="28" borderId="37" xfId="3032" applyNumberFormat="1" applyFont="1" applyFill="1" applyBorder="1" applyAlignment="1">
      <alignment horizontal="center" vertical="distributed" wrapText="1"/>
    </xf>
    <xf numFmtId="4" fontId="154" fillId="0" borderId="0" xfId="0" applyNumberFormat="1" applyFont="1"/>
    <xf numFmtId="0" fontId="154" fillId="32" borderId="0" xfId="0" applyFont="1" applyFill="1"/>
    <xf numFmtId="1" fontId="3" fillId="28" borderId="53" xfId="3032" applyNumberFormat="1" applyFont="1" applyFill="1" applyBorder="1" applyAlignment="1">
      <alignment horizontal="center" vertical="center" wrapText="1"/>
    </xf>
    <xf numFmtId="49" fontId="3" fillId="0" borderId="45" xfId="283" applyNumberFormat="1" applyFont="1" applyBorder="1" applyAlignment="1">
      <alignment horizontal="center" vertical="center" wrapText="1"/>
    </xf>
    <xf numFmtId="212" fontId="3" fillId="47" borderId="33" xfId="5873" applyNumberFormat="1" applyFont="1" applyFill="1" applyBorder="1" applyAlignment="1" applyProtection="1">
      <alignment horizontal="center" vertical="distributed" wrapText="1"/>
    </xf>
    <xf numFmtId="0" fontId="156" fillId="0" borderId="121" xfId="0" applyFont="1" applyBorder="1"/>
    <xf numFmtId="0" fontId="26" fillId="0" borderId="82" xfId="0" applyFont="1" applyBorder="1" applyAlignment="1">
      <alignment horizontal="center" vertical="center"/>
    </xf>
    <xf numFmtId="0" fontId="63" fillId="34" borderId="82" xfId="0" applyFont="1" applyFill="1" applyBorder="1"/>
    <xf numFmtId="0" fontId="63" fillId="0" borderId="0" xfId="0" applyFont="1"/>
    <xf numFmtId="0" fontId="27" fillId="0" borderId="122" xfId="0" applyFont="1" applyBorder="1"/>
    <xf numFmtId="0" fontId="28" fillId="0" borderId="122" xfId="0" applyFont="1" applyBorder="1" applyAlignment="1">
      <alignment horizontal="center" vertical="center"/>
    </xf>
    <xf numFmtId="0" fontId="84" fillId="28" borderId="122" xfId="0" applyFont="1" applyFill="1" applyBorder="1"/>
    <xf numFmtId="0" fontId="3" fillId="28" borderId="122" xfId="0" applyFont="1" applyFill="1" applyBorder="1"/>
    <xf numFmtId="0" fontId="53" fillId="29" borderId="13" xfId="0" applyFont="1" applyFill="1" applyBorder="1" applyAlignment="1">
      <alignment horizontal="center" vertical="center"/>
    </xf>
    <xf numFmtId="0" fontId="53" fillId="29" borderId="126" xfId="0" applyFont="1" applyFill="1" applyBorder="1" applyAlignment="1">
      <alignment horizontal="center" vertical="center"/>
    </xf>
    <xf numFmtId="0" fontId="53" fillId="29" borderId="82" xfId="0" applyFont="1" applyFill="1" applyBorder="1" applyAlignment="1">
      <alignment horizontal="center" vertical="center"/>
    </xf>
    <xf numFmtId="0" fontId="164" fillId="0" borderId="82" xfId="0" applyFont="1" applyBorder="1" applyAlignment="1">
      <alignment vertical="center"/>
    </xf>
    <xf numFmtId="0" fontId="0" fillId="0" borderId="105" xfId="0" applyBorder="1" applyAlignment="1">
      <alignment horizontal="center" vertical="center"/>
    </xf>
    <xf numFmtId="0" fontId="0" fillId="0" borderId="82" xfId="0" applyBorder="1" applyAlignment="1">
      <alignment horizontal="center" vertical="center"/>
    </xf>
    <xf numFmtId="0" fontId="164" fillId="0" borderId="0" xfId="0" applyFont="1" applyAlignment="1">
      <alignment horizontal="justify" vertical="center"/>
    </xf>
    <xf numFmtId="0" fontId="164" fillId="0" borderId="82" xfId="0" applyFont="1" applyBorder="1" applyAlignment="1">
      <alignment horizontal="justify" vertical="center"/>
    </xf>
    <xf numFmtId="0" fontId="164" fillId="0" borderId="82" xfId="0" applyFont="1" applyBorder="1" applyAlignment="1">
      <alignment vertical="center" wrapText="1"/>
    </xf>
    <xf numFmtId="174" fontId="4" fillId="28" borderId="0" xfId="3032" applyNumberFormat="1" applyFill="1" applyAlignment="1">
      <alignment horizontal="center"/>
    </xf>
    <xf numFmtId="17" fontId="75" fillId="28" borderId="53" xfId="283" quotePrefix="1" applyNumberFormat="1" applyFont="1" applyFill="1" applyBorder="1" applyAlignment="1">
      <alignment horizontal="left" vertical="center" wrapText="1"/>
    </xf>
    <xf numFmtId="0" fontId="75" fillId="28" borderId="53" xfId="3032" applyFont="1" applyFill="1" applyBorder="1" applyAlignment="1">
      <alignment horizontal="center" vertical="center" wrapText="1"/>
    </xf>
    <xf numFmtId="43" fontId="75" fillId="28" borderId="43" xfId="1" applyFont="1" applyFill="1" applyBorder="1" applyAlignment="1">
      <alignment horizontal="center" vertical="center" wrapText="1"/>
    </xf>
    <xf numFmtId="43" fontId="75" fillId="28" borderId="53" xfId="1" applyFont="1" applyFill="1" applyBorder="1" applyAlignment="1">
      <alignment horizontal="center" vertical="center" wrapText="1"/>
    </xf>
    <xf numFmtId="43" fontId="75" fillId="28" borderId="42" xfId="1" applyFont="1" applyFill="1" applyBorder="1" applyAlignment="1">
      <alignment horizontal="center" vertical="center" wrapText="1"/>
    </xf>
    <xf numFmtId="43" fontId="75" fillId="28" borderId="41" xfId="1" applyFont="1" applyFill="1" applyBorder="1" applyAlignment="1">
      <alignment horizontal="center" vertical="center" wrapText="1"/>
    </xf>
    <xf numFmtId="43" fontId="75" fillId="28" borderId="43" xfId="1" applyFont="1" applyFill="1" applyBorder="1" applyAlignment="1">
      <alignment horizontal="center" vertical="distributed" wrapText="1"/>
    </xf>
    <xf numFmtId="174" fontId="75" fillId="28" borderId="42" xfId="1" applyNumberFormat="1" applyFont="1" applyFill="1" applyBorder="1" applyAlignment="1">
      <alignment horizontal="center" vertical="distributed" wrapText="1"/>
    </xf>
    <xf numFmtId="174" fontId="75" fillId="28" borderId="53" xfId="1" applyNumberFormat="1" applyFont="1" applyFill="1" applyBorder="1" applyAlignment="1">
      <alignment horizontal="center" vertical="distributed" wrapText="1"/>
    </xf>
    <xf numFmtId="0" fontId="75" fillId="28" borderId="36" xfId="3032" applyFont="1" applyFill="1" applyBorder="1" applyAlignment="1">
      <alignment horizontal="left" vertical="distributed" wrapText="1"/>
    </xf>
    <xf numFmtId="0" fontId="75" fillId="0" borderId="53" xfId="283" applyFont="1" applyBorder="1" applyAlignment="1">
      <alignment horizontal="left" vertical="center" wrapText="1"/>
    </xf>
    <xf numFmtId="1" fontId="75" fillId="0" borderId="43" xfId="3032" applyNumberFormat="1" applyFont="1" applyBorder="1" applyAlignment="1">
      <alignment horizontal="center" vertical="center" wrapText="1"/>
    </xf>
    <xf numFmtId="1" fontId="75" fillId="0" borderId="41" xfId="3032" applyNumberFormat="1" applyFont="1" applyBorder="1" applyAlignment="1">
      <alignment horizontal="center" vertical="center" wrapText="1"/>
    </xf>
    <xf numFmtId="2" fontId="75" fillId="0" borderId="42" xfId="3032" applyNumberFormat="1" applyFont="1" applyBorder="1" applyAlignment="1">
      <alignment horizontal="center" vertical="center" wrapText="1"/>
    </xf>
    <xf numFmtId="1" fontId="75" fillId="0" borderId="43" xfId="3032" applyNumberFormat="1" applyFont="1" applyBorder="1" applyAlignment="1">
      <alignment horizontal="right" vertical="center" wrapText="1"/>
    </xf>
    <xf numFmtId="2" fontId="75" fillId="0" borderId="42" xfId="3032" applyNumberFormat="1" applyFont="1" applyBorder="1" applyAlignment="1">
      <alignment horizontal="left" vertical="center" wrapText="1"/>
    </xf>
    <xf numFmtId="0" fontId="75" fillId="0" borderId="53" xfId="3032" applyFont="1" applyBorder="1" applyAlignment="1">
      <alignment horizontal="center" vertical="center" wrapText="1"/>
    </xf>
    <xf numFmtId="43" fontId="75" fillId="0" borderId="43" xfId="1" applyFont="1" applyFill="1" applyBorder="1" applyAlignment="1">
      <alignment horizontal="center" vertical="center" wrapText="1"/>
    </xf>
    <xf numFmtId="43" fontId="75" fillId="0" borderId="53" xfId="1" applyFont="1" applyFill="1" applyBorder="1" applyAlignment="1">
      <alignment horizontal="center" vertical="center" wrapText="1"/>
    </xf>
    <xf numFmtId="43" fontId="75" fillId="0" borderId="42" xfId="1" applyFont="1" applyFill="1" applyBorder="1" applyAlignment="1">
      <alignment horizontal="center" vertical="center" wrapText="1"/>
    </xf>
    <xf numFmtId="43" fontId="75" fillId="0" borderId="43" xfId="1" applyFont="1" applyFill="1" applyBorder="1" applyAlignment="1">
      <alignment horizontal="center" vertical="distributed" wrapText="1"/>
    </xf>
    <xf numFmtId="174" fontId="75" fillId="0" borderId="43" xfId="1" applyNumberFormat="1" applyFont="1" applyFill="1" applyBorder="1" applyAlignment="1">
      <alignment horizontal="center" vertical="distributed" wrapText="1"/>
    </xf>
    <xf numFmtId="174" fontId="75" fillId="0" borderId="53" xfId="1" applyNumberFormat="1" applyFont="1" applyFill="1" applyBorder="1" applyAlignment="1">
      <alignment horizontal="center" vertical="distributed" wrapText="1"/>
    </xf>
    <xf numFmtId="169" fontId="75" fillId="0" borderId="42" xfId="3032" applyNumberFormat="1" applyFont="1" applyBorder="1" applyAlignment="1">
      <alignment horizontal="center" vertical="distributed" wrapText="1"/>
    </xf>
    <xf numFmtId="192" fontId="75" fillId="0" borderId="53" xfId="3032" applyNumberFormat="1" applyFont="1" applyBorder="1" applyAlignment="1">
      <alignment horizontal="center" vertical="center" wrapText="1"/>
    </xf>
    <xf numFmtId="0" fontId="75" fillId="0" borderId="53" xfId="3032" applyFont="1" applyBorder="1" applyAlignment="1">
      <alignment horizontal="left" vertical="center" wrapText="1"/>
    </xf>
    <xf numFmtId="174" fontId="75" fillId="28" borderId="46" xfId="1" applyNumberFormat="1" applyFont="1" applyFill="1" applyBorder="1" applyAlignment="1">
      <alignment horizontal="center" vertical="distributed" wrapText="1"/>
    </xf>
    <xf numFmtId="192" fontId="75" fillId="28" borderId="53" xfId="3032" applyNumberFormat="1" applyFont="1" applyFill="1" applyBorder="1" applyAlignment="1">
      <alignment horizontal="center" vertical="center" wrapText="1"/>
    </xf>
    <xf numFmtId="0" fontId="75" fillId="28" borderId="53" xfId="3032" applyFont="1" applyFill="1" applyBorder="1" applyAlignment="1">
      <alignment horizontal="left" vertical="distributed" wrapText="1"/>
    </xf>
    <xf numFmtId="0" fontId="27" fillId="0" borderId="0" xfId="160" applyFont="1" applyAlignment="1">
      <alignment vertical="top" wrapText="1"/>
    </xf>
    <xf numFmtId="0" fontId="113" fillId="28" borderId="8" xfId="0" applyFont="1" applyFill="1" applyBorder="1" applyAlignment="1">
      <alignment vertical="center"/>
    </xf>
    <xf numFmtId="0" fontId="96" fillId="28" borderId="10" xfId="0" applyFont="1" applyFill="1" applyBorder="1" applyAlignment="1">
      <alignment vertical="center"/>
    </xf>
    <xf numFmtId="49" fontId="75" fillId="28" borderId="53" xfId="283" applyNumberFormat="1" applyFont="1" applyFill="1" applyBorder="1" applyAlignment="1">
      <alignment horizontal="center" vertical="center" wrapText="1"/>
    </xf>
    <xf numFmtId="49" fontId="90" fillId="28" borderId="53" xfId="283" applyNumberFormat="1" applyFont="1" applyFill="1" applyBorder="1" applyAlignment="1">
      <alignment horizontal="center" vertical="center" wrapText="1"/>
    </xf>
    <xf numFmtId="1" fontId="90" fillId="28" borderId="53" xfId="3032" applyNumberFormat="1" applyFont="1" applyFill="1" applyBorder="1" applyAlignment="1">
      <alignment horizontal="center" vertical="center" wrapText="1"/>
    </xf>
    <xf numFmtId="43" fontId="3" fillId="28" borderId="42" xfId="1" applyFont="1" applyFill="1" applyBorder="1" applyAlignment="1">
      <alignment horizontal="center" vertical="center" wrapText="1"/>
    </xf>
    <xf numFmtId="43" fontId="3" fillId="28" borderId="41" xfId="1" applyFont="1" applyFill="1" applyBorder="1" applyAlignment="1">
      <alignment horizontal="center" vertical="center" wrapText="1"/>
    </xf>
    <xf numFmtId="43" fontId="3" fillId="28" borderId="43" xfId="1" applyFont="1" applyFill="1" applyBorder="1" applyAlignment="1">
      <alignment horizontal="center" vertical="distributed" wrapText="1"/>
    </xf>
    <xf numFmtId="43" fontId="3" fillId="28" borderId="42" xfId="1" applyFont="1" applyFill="1" applyBorder="1" applyAlignment="1">
      <alignment horizontal="center" vertical="distributed" wrapText="1"/>
    </xf>
    <xf numFmtId="2" fontId="61" fillId="28" borderId="45" xfId="3032" applyNumberFormat="1" applyFont="1" applyFill="1" applyBorder="1" applyAlignment="1">
      <alignment horizontal="center" vertical="center"/>
    </xf>
    <xf numFmtId="169" fontId="4" fillId="28" borderId="45" xfId="3032" applyNumberFormat="1" applyFill="1" applyBorder="1" applyAlignment="1">
      <alignment horizontal="right"/>
    </xf>
    <xf numFmtId="0" fontId="4" fillId="28" borderId="45" xfId="3032" applyFill="1" applyBorder="1" applyAlignment="1">
      <alignment horizontal="center"/>
    </xf>
    <xf numFmtId="0" fontId="61" fillId="28" borderId="45" xfId="3032" applyFont="1" applyFill="1" applyBorder="1" applyAlignment="1">
      <alignment horizontal="center"/>
    </xf>
    <xf numFmtId="1" fontId="61" fillId="28" borderId="45" xfId="3032" applyNumberFormat="1" applyFont="1" applyFill="1" applyBorder="1" applyAlignment="1">
      <alignment horizontal="center"/>
    </xf>
    <xf numFmtId="0" fontId="61" fillId="33" borderId="45" xfId="3032" applyFont="1" applyFill="1" applyBorder="1" applyAlignment="1">
      <alignment horizontal="center"/>
    </xf>
    <xf numFmtId="2" fontId="61" fillId="28" borderId="45" xfId="3032" applyNumberFormat="1" applyFont="1" applyFill="1" applyBorder="1"/>
    <xf numFmtId="0" fontId="61" fillId="28" borderId="45" xfId="3032" applyFont="1" applyFill="1" applyBorder="1"/>
    <xf numFmtId="2" fontId="61" fillId="28" borderId="53" xfId="3032" applyNumberFormat="1" applyFont="1" applyFill="1" applyBorder="1" applyAlignment="1">
      <alignment horizontal="center" vertical="center"/>
    </xf>
    <xf numFmtId="174" fontId="75" fillId="0" borderId="37" xfId="1" applyNumberFormat="1" applyFont="1" applyFill="1" applyBorder="1" applyAlignment="1">
      <alignment vertical="center" wrapText="1"/>
    </xf>
    <xf numFmtId="169" fontId="4" fillId="28" borderId="53" xfId="3032" applyNumberFormat="1" applyFill="1" applyBorder="1" applyAlignment="1">
      <alignment horizontal="right"/>
    </xf>
    <xf numFmtId="0" fontId="4" fillId="28" borderId="53" xfId="3032" applyFill="1" applyBorder="1" applyAlignment="1">
      <alignment horizontal="center"/>
    </xf>
    <xf numFmtId="0" fontId="61" fillId="28" borderId="53" xfId="3032" applyFont="1" applyFill="1" applyBorder="1" applyAlignment="1">
      <alignment horizontal="center"/>
    </xf>
    <xf numFmtId="1" fontId="61" fillId="28" borderId="53" xfId="3032" applyNumberFormat="1" applyFont="1" applyFill="1" applyBorder="1" applyAlignment="1">
      <alignment horizontal="center"/>
    </xf>
    <xf numFmtId="0" fontId="61" fillId="33" borderId="53" xfId="3032" applyFont="1" applyFill="1" applyBorder="1" applyAlignment="1">
      <alignment horizontal="center"/>
    </xf>
    <xf numFmtId="2" fontId="61" fillId="28" borderId="53" xfId="3032" applyNumberFormat="1" applyFont="1" applyFill="1" applyBorder="1"/>
    <xf numFmtId="0" fontId="61" fillId="28" borderId="53" xfId="3032" applyFont="1" applyFill="1" applyBorder="1"/>
    <xf numFmtId="0" fontId="75" fillId="0" borderId="36" xfId="3032" applyFont="1" applyBorder="1" applyAlignment="1">
      <alignment horizontal="center" vertical="center" wrapText="1"/>
    </xf>
    <xf numFmtId="0" fontId="75" fillId="0" borderId="32" xfId="3032" applyFont="1" applyBorder="1" applyAlignment="1">
      <alignment horizontal="center" vertical="center" wrapText="1"/>
    </xf>
    <xf numFmtId="174" fontId="3" fillId="28" borderId="42" xfId="1" applyNumberFormat="1" applyFont="1" applyFill="1" applyBorder="1" applyAlignment="1">
      <alignment horizontal="center" vertical="distributed" wrapText="1"/>
    </xf>
    <xf numFmtId="174" fontId="3" fillId="28" borderId="53" xfId="1" applyNumberFormat="1" applyFont="1" applyFill="1" applyBorder="1" applyAlignment="1">
      <alignment horizontal="center" vertical="distributed" wrapText="1"/>
    </xf>
    <xf numFmtId="0" fontId="3" fillId="28" borderId="42" xfId="3032" applyFont="1" applyFill="1" applyBorder="1" applyAlignment="1">
      <alignment horizontal="left" vertical="distributed" wrapText="1"/>
    </xf>
    <xf numFmtId="0" fontId="3" fillId="28" borderId="33" xfId="5879" applyFont="1" applyFill="1" applyBorder="1" applyAlignment="1">
      <alignment horizontal="center" vertical="center" wrapText="1"/>
    </xf>
    <xf numFmtId="0" fontId="75" fillId="0" borderId="33" xfId="5876" applyFont="1" applyBorder="1" applyAlignment="1">
      <alignment horizontal="left" vertical="center" wrapText="1"/>
    </xf>
    <xf numFmtId="0" fontId="75" fillId="0" borderId="33" xfId="5879" applyFont="1" applyBorder="1" applyAlignment="1">
      <alignment horizontal="center" vertical="center" wrapText="1"/>
    </xf>
    <xf numFmtId="207" fontId="75" fillId="0" borderId="34" xfId="5873" applyFont="1" applyBorder="1" applyAlignment="1" applyProtection="1">
      <alignment horizontal="center" vertical="center" wrapText="1"/>
    </xf>
    <xf numFmtId="207" fontId="75" fillId="0" borderId="33" xfId="5873" applyFont="1" applyBorder="1" applyAlignment="1" applyProtection="1">
      <alignment horizontal="center" vertical="center" wrapText="1"/>
    </xf>
    <xf numFmtId="207" fontId="75" fillId="0" borderId="32" xfId="5873" applyFont="1" applyBorder="1" applyAlignment="1" applyProtection="1">
      <alignment horizontal="center" vertical="center" wrapText="1"/>
    </xf>
    <xf numFmtId="207" fontId="75" fillId="0" borderId="35" xfId="5873" applyFont="1" applyBorder="1" applyAlignment="1" applyProtection="1">
      <alignment horizontal="center" vertical="center" wrapText="1"/>
    </xf>
    <xf numFmtId="207" fontId="75" fillId="0" borderId="34" xfId="5873" applyFont="1" applyBorder="1" applyAlignment="1" applyProtection="1">
      <alignment horizontal="center" vertical="distributed" wrapText="1"/>
    </xf>
    <xf numFmtId="213" fontId="75" fillId="0" borderId="33" xfId="5873" applyNumberFormat="1" applyFont="1" applyBorder="1" applyAlignment="1" applyProtection="1">
      <alignment horizontal="center" vertical="center" wrapText="1"/>
    </xf>
    <xf numFmtId="207" fontId="75" fillId="0" borderId="32" xfId="5873" applyFont="1" applyBorder="1" applyAlignment="1" applyProtection="1">
      <alignment horizontal="center" vertical="distributed" wrapText="1"/>
    </xf>
    <xf numFmtId="212" fontId="75" fillId="0" borderId="33" xfId="5873" applyNumberFormat="1" applyFont="1" applyBorder="1" applyAlignment="1" applyProtection="1">
      <alignment horizontal="center" vertical="distributed" wrapText="1"/>
    </xf>
    <xf numFmtId="207" fontId="75" fillId="0" borderId="33" xfId="5873" applyFont="1" applyBorder="1" applyAlignment="1" applyProtection="1">
      <alignment horizontal="center" vertical="distributed" wrapText="1"/>
    </xf>
    <xf numFmtId="192" fontId="75" fillId="0" borderId="33" xfId="5879" applyNumberFormat="1" applyFont="1" applyBorder="1" applyAlignment="1">
      <alignment horizontal="center" vertical="center" wrapText="1"/>
    </xf>
    <xf numFmtId="0" fontId="75" fillId="0" borderId="33" xfId="5879" applyFont="1" applyBorder="1" applyAlignment="1">
      <alignment horizontal="left" vertical="center" wrapText="1"/>
    </xf>
    <xf numFmtId="207" fontId="161" fillId="0" borderId="33" xfId="5873" applyFont="1" applyBorder="1" applyAlignment="1" applyProtection="1">
      <alignment horizontal="center" vertical="center" wrapText="1"/>
    </xf>
    <xf numFmtId="207" fontId="161" fillId="0" borderId="32" xfId="5873" applyFont="1" applyBorder="1" applyAlignment="1" applyProtection="1">
      <alignment horizontal="center" vertical="center" wrapText="1"/>
    </xf>
    <xf numFmtId="207" fontId="161" fillId="0" borderId="34" xfId="5873" applyFont="1" applyBorder="1" applyAlignment="1" applyProtection="1">
      <alignment horizontal="center" vertical="distributed" wrapText="1"/>
    </xf>
    <xf numFmtId="174" fontId="75" fillId="0" borderId="33" xfId="1" applyNumberFormat="1" applyFont="1" applyFill="1" applyBorder="1" applyAlignment="1">
      <alignment horizontal="center" vertical="distributed" wrapText="1"/>
    </xf>
    <xf numFmtId="43" fontId="75" fillId="0" borderId="53" xfId="1" applyFont="1" applyFill="1" applyBorder="1" applyAlignment="1">
      <alignment horizontal="center" vertical="distributed" wrapText="1"/>
    </xf>
    <xf numFmtId="0" fontId="75" fillId="0" borderId="30" xfId="283" applyFont="1" applyBorder="1" applyAlignment="1">
      <alignment horizontal="left" vertical="center" wrapText="1"/>
    </xf>
    <xf numFmtId="0" fontId="75" fillId="0" borderId="30" xfId="3032" applyFont="1" applyBorder="1" applyAlignment="1">
      <alignment horizontal="center" vertical="center" wrapText="1"/>
    </xf>
    <xf numFmtId="43" fontId="75" fillId="0" borderId="31" xfId="1" applyFont="1" applyFill="1" applyBorder="1" applyAlignment="1">
      <alignment horizontal="center" vertical="center" wrapText="1"/>
    </xf>
    <xf numFmtId="43" fontId="75" fillId="0" borderId="30" xfId="1" applyFont="1" applyFill="1" applyBorder="1" applyAlignment="1">
      <alignment horizontal="center" vertical="center" wrapText="1"/>
    </xf>
    <xf numFmtId="43" fontId="75" fillId="0" borderId="29" xfId="1" applyFont="1" applyFill="1" applyBorder="1" applyAlignment="1">
      <alignment horizontal="center" vertical="center" wrapText="1"/>
    </xf>
    <xf numFmtId="43" fontId="75" fillId="0" borderId="39" xfId="1" applyFont="1" applyFill="1" applyBorder="1" applyAlignment="1">
      <alignment horizontal="center" vertical="center" wrapText="1"/>
    </xf>
    <xf numFmtId="174" fontId="75" fillId="0" borderId="30" xfId="1" applyNumberFormat="1" applyFont="1" applyFill="1" applyBorder="1" applyAlignment="1">
      <alignment horizontal="center" vertical="distributed" wrapText="1"/>
    </xf>
    <xf numFmtId="171" fontId="3" fillId="0" borderId="53" xfId="3032" applyNumberFormat="1" applyFont="1" applyBorder="1" applyAlignment="1">
      <alignment horizontal="right" vertical="center" wrapText="1"/>
    </xf>
    <xf numFmtId="171" fontId="90" fillId="0" borderId="107" xfId="1" applyNumberFormat="1" applyFont="1" applyFill="1" applyBorder="1" applyAlignment="1">
      <alignment horizontal="right" vertical="distributed" wrapText="1"/>
    </xf>
    <xf numFmtId="43" fontId="90" fillId="0" borderId="126" xfId="1" applyFont="1" applyFill="1" applyBorder="1" applyAlignment="1">
      <alignment horizontal="center" vertical="distributed" wrapText="1"/>
    </xf>
    <xf numFmtId="192" fontId="90" fillId="0" borderId="53" xfId="3032" applyNumberFormat="1" applyFont="1" applyBorder="1" applyAlignment="1">
      <alignment horizontal="center" vertical="center" wrapText="1"/>
    </xf>
    <xf numFmtId="0" fontId="90" fillId="0" borderId="53" xfId="3032" applyFont="1" applyBorder="1" applyAlignment="1">
      <alignment horizontal="left" vertical="distributed" wrapText="1"/>
    </xf>
    <xf numFmtId="0" fontId="3" fillId="28" borderId="107" xfId="3032" applyFont="1" applyFill="1" applyBorder="1" applyAlignment="1">
      <alignment horizontal="left" vertical="distributed" wrapText="1"/>
    </xf>
    <xf numFmtId="1" fontId="3" fillId="0" borderId="53" xfId="3032" applyNumberFormat="1" applyFont="1" applyBorder="1" applyAlignment="1">
      <alignment horizontal="left" vertical="center" wrapText="1"/>
    </xf>
    <xf numFmtId="2" fontId="3" fillId="0" borderId="43" xfId="3032" applyNumberFormat="1" applyFont="1" applyBorder="1" applyAlignment="1">
      <alignment horizontal="center" vertical="center" wrapText="1"/>
    </xf>
    <xf numFmtId="2" fontId="3" fillId="0" borderId="41" xfId="3032" applyNumberFormat="1" applyFont="1" applyBorder="1" applyAlignment="1">
      <alignment horizontal="center" vertical="center" wrapText="1"/>
    </xf>
    <xf numFmtId="2" fontId="3" fillId="0" borderId="41" xfId="3032" applyNumberFormat="1" applyFont="1" applyBorder="1" applyAlignment="1">
      <alignment horizontal="center" vertical="distributed" wrapText="1"/>
    </xf>
    <xf numFmtId="2" fontId="3" fillId="0" borderId="42" xfId="3032" applyNumberFormat="1" applyFont="1" applyBorder="1" applyAlignment="1">
      <alignment horizontal="center" vertical="distributed" wrapText="1"/>
    </xf>
    <xf numFmtId="2" fontId="3" fillId="0" borderId="53" xfId="3032" applyNumberFormat="1" applyFont="1" applyBorder="1" applyAlignment="1">
      <alignment horizontal="center" vertical="center" wrapText="1"/>
    </xf>
    <xf numFmtId="2" fontId="3" fillId="0" borderId="33" xfId="3032" applyNumberFormat="1" applyFont="1" applyBorder="1" applyAlignment="1">
      <alignment horizontal="center" vertical="center" wrapText="1"/>
    </xf>
    <xf numFmtId="171" fontId="3" fillId="0" borderId="41" xfId="3032" applyNumberFormat="1" applyFont="1" applyBorder="1" applyAlignment="1">
      <alignment horizontal="center" vertical="center" wrapText="1"/>
    </xf>
    <xf numFmtId="174" fontId="3" fillId="0" borderId="53" xfId="1" applyNumberFormat="1" applyFont="1" applyFill="1" applyBorder="1" applyAlignment="1">
      <alignment horizontal="right" vertical="distributed" wrapText="1"/>
    </xf>
    <xf numFmtId="174" fontId="3" fillId="0" borderId="33" xfId="1" applyNumberFormat="1" applyFont="1" applyFill="1" applyBorder="1" applyAlignment="1">
      <alignment horizontal="right" vertical="distributed" wrapText="1"/>
    </xf>
    <xf numFmtId="192" fontId="3" fillId="0" borderId="45" xfId="3032" applyNumberFormat="1" applyFont="1" applyBorder="1" applyAlignment="1">
      <alignment horizontal="center" vertical="center" wrapText="1"/>
    </xf>
    <xf numFmtId="2" fontId="3" fillId="28" borderId="43" xfId="3032" applyNumberFormat="1" applyFont="1" applyFill="1" applyBorder="1" applyAlignment="1">
      <alignment horizontal="center" vertical="center" wrapText="1"/>
    </xf>
    <xf numFmtId="2" fontId="3" fillId="28" borderId="33" xfId="3032" applyNumberFormat="1" applyFont="1" applyFill="1" applyBorder="1" applyAlignment="1">
      <alignment horizontal="center" vertical="center" wrapText="1"/>
    </xf>
    <xf numFmtId="171" fontId="3" fillId="28" borderId="41" xfId="3032" applyNumberFormat="1" applyFont="1" applyFill="1" applyBorder="1" applyAlignment="1">
      <alignment horizontal="center" vertical="center" wrapText="1"/>
    </xf>
    <xf numFmtId="174" fontId="3" fillId="28" borderId="53" xfId="1" applyNumberFormat="1" applyFont="1" applyFill="1" applyBorder="1" applyAlignment="1">
      <alignment horizontal="right" vertical="distributed" wrapText="1"/>
    </xf>
    <xf numFmtId="2" fontId="3" fillId="0" borderId="121" xfId="3032" applyNumberFormat="1" applyFont="1" applyBorder="1" applyAlignment="1">
      <alignment horizontal="center" vertical="center" wrapText="1"/>
    </xf>
    <xf numFmtId="2" fontId="3" fillId="0" borderId="0" xfId="3032" applyNumberFormat="1" applyFont="1" applyAlignment="1">
      <alignment horizontal="center" vertical="center" wrapText="1"/>
    </xf>
    <xf numFmtId="2" fontId="3" fillId="0" borderId="122" xfId="3032" applyNumberFormat="1" applyFont="1" applyBorder="1" applyAlignment="1">
      <alignment horizontal="center" vertical="center" wrapText="1"/>
    </xf>
    <xf numFmtId="2" fontId="3" fillId="0" borderId="34" xfId="3032" applyNumberFormat="1" applyFont="1" applyBorder="1" applyAlignment="1">
      <alignment horizontal="center" vertical="center" wrapText="1"/>
    </xf>
    <xf numFmtId="0" fontId="3" fillId="0" borderId="53" xfId="1" applyNumberFormat="1" applyFont="1" applyFill="1" applyBorder="1" applyAlignment="1">
      <alignment horizontal="center" vertical="center" wrapText="1"/>
    </xf>
    <xf numFmtId="2" fontId="3" fillId="0" borderId="41" xfId="1" applyNumberFormat="1" applyFont="1" applyFill="1" applyBorder="1" applyAlignment="1">
      <alignment horizontal="center" vertical="center" wrapText="1"/>
    </xf>
    <xf numFmtId="0" fontId="3" fillId="0" borderId="43" xfId="1" applyNumberFormat="1" applyFont="1" applyFill="1" applyBorder="1" applyAlignment="1">
      <alignment horizontal="center" vertical="center" wrapText="1"/>
    </xf>
    <xf numFmtId="2" fontId="3" fillId="0" borderId="35" xfId="3032" applyNumberFormat="1" applyFont="1" applyBorder="1" applyAlignment="1">
      <alignment horizontal="center" vertical="center" wrapText="1"/>
    </xf>
    <xf numFmtId="0" fontId="3" fillId="0" borderId="33" xfId="1" applyNumberFormat="1" applyFont="1" applyFill="1" applyBorder="1" applyAlignment="1">
      <alignment horizontal="center" vertical="center" wrapText="1"/>
    </xf>
    <xf numFmtId="0" fontId="3" fillId="0" borderId="45" xfId="283" applyFont="1" applyBorder="1" applyAlignment="1">
      <alignment horizontal="left" vertical="center" wrapText="1"/>
    </xf>
    <xf numFmtId="0" fontId="104" fillId="0" borderId="104" xfId="0" applyFont="1" applyBorder="1" applyAlignment="1">
      <alignment horizontal="center" vertical="center"/>
    </xf>
    <xf numFmtId="0" fontId="53" fillId="25" borderId="82" xfId="0" applyFont="1" applyFill="1" applyBorder="1" applyAlignment="1">
      <alignment horizontal="center" vertical="center" wrapText="1"/>
    </xf>
    <xf numFmtId="0" fontId="54" fillId="0" borderId="82" xfId="0" applyFont="1" applyBorder="1" applyAlignment="1">
      <alignment horizontal="justify" vertical="center"/>
    </xf>
    <xf numFmtId="0" fontId="104" fillId="0" borderId="82" xfId="0" applyFont="1" applyBorder="1" applyAlignment="1">
      <alignment horizontal="center" vertical="center"/>
    </xf>
    <xf numFmtId="0" fontId="164" fillId="0" borderId="82" xfId="0" applyFont="1" applyBorder="1"/>
    <xf numFmtId="0" fontId="104" fillId="0" borderId="0" xfId="0" applyFont="1" applyAlignment="1">
      <alignment vertical="center"/>
    </xf>
    <xf numFmtId="0" fontId="104" fillId="32" borderId="0" xfId="0" applyFont="1" applyFill="1" applyAlignment="1">
      <alignment vertical="center"/>
    </xf>
    <xf numFmtId="0" fontId="26" fillId="0" borderId="0" xfId="275" applyFont="1" applyAlignment="1">
      <alignment vertical="center" wrapText="1"/>
    </xf>
    <xf numFmtId="0" fontId="27" fillId="0" borderId="0" xfId="435" applyFont="1" applyAlignment="1">
      <alignment vertical="center" wrapText="1"/>
    </xf>
    <xf numFmtId="0" fontId="27" fillId="0" borderId="0" xfId="435" applyFont="1" applyAlignment="1">
      <alignment horizontal="center" vertical="center" wrapText="1"/>
    </xf>
    <xf numFmtId="0" fontId="47" fillId="28" borderId="0" xfId="316" applyFont="1" applyFill="1" applyProtection="1">
      <protection locked="0"/>
    </xf>
    <xf numFmtId="14" fontId="3" fillId="28" borderId="104" xfId="0" applyNumberFormat="1" applyFont="1" applyFill="1" applyBorder="1" applyAlignment="1">
      <alignment horizontal="left" vertical="center"/>
    </xf>
    <xf numFmtId="14" fontId="3" fillId="28" borderId="106" xfId="0" applyNumberFormat="1" applyFont="1" applyFill="1" applyBorder="1" applyAlignment="1">
      <alignment horizontal="left" vertical="center"/>
    </xf>
    <xf numFmtId="0" fontId="96" fillId="29" borderId="9" xfId="439" applyFont="1" applyFill="1" applyBorder="1"/>
    <xf numFmtId="203" fontId="4" fillId="28" borderId="82" xfId="439" applyNumberFormat="1" applyFill="1" applyBorder="1" applyAlignment="1">
      <alignment horizontal="center"/>
    </xf>
    <xf numFmtId="14" fontId="47" fillId="0" borderId="0" xfId="0" applyNumberFormat="1" applyFont="1" applyAlignment="1">
      <alignment vertical="center" wrapText="1"/>
    </xf>
    <xf numFmtId="0" fontId="53" fillId="28" borderId="106" xfId="0" applyFont="1" applyFill="1" applyBorder="1" applyAlignment="1">
      <alignment horizontal="left" vertical="center"/>
    </xf>
    <xf numFmtId="0" fontId="53" fillId="28" borderId="105" xfId="0" applyFont="1" applyFill="1" applyBorder="1" applyAlignment="1">
      <alignment horizontal="left" vertical="center"/>
    </xf>
    <xf numFmtId="43" fontId="3" fillId="0" borderId="43" xfId="1" applyFont="1" applyFill="1" applyBorder="1" applyAlignment="1">
      <alignment horizontal="center" vertical="center" wrapText="1"/>
    </xf>
    <xf numFmtId="192" fontId="3" fillId="28" borderId="45" xfId="3032" applyNumberFormat="1" applyFont="1" applyFill="1" applyBorder="1" applyAlignment="1">
      <alignment horizontal="center" vertical="center" wrapText="1"/>
    </xf>
    <xf numFmtId="174" fontId="3" fillId="28" borderId="33" xfId="1" applyNumberFormat="1" applyFont="1" applyFill="1" applyBorder="1" applyAlignment="1">
      <alignment horizontal="right" vertical="distributed" wrapText="1"/>
    </xf>
    <xf numFmtId="49" fontId="3" fillId="28" borderId="45" xfId="283" applyNumberFormat="1" applyFont="1" applyFill="1" applyBorder="1" applyAlignment="1">
      <alignment horizontal="center" vertical="center" wrapText="1"/>
    </xf>
    <xf numFmtId="0" fontId="75" fillId="28" borderId="33" xfId="5879" applyFont="1" applyFill="1" applyBorder="1" applyAlignment="1">
      <alignment horizontal="center" vertical="center" wrapText="1"/>
    </xf>
    <xf numFmtId="207" fontId="75" fillId="28" borderId="34" xfId="5873" applyFont="1" applyFill="1" applyBorder="1" applyAlignment="1" applyProtection="1">
      <alignment horizontal="center" vertical="center" wrapText="1"/>
    </xf>
    <xf numFmtId="9" fontId="75" fillId="0" borderId="42" xfId="5871" applyFont="1" applyFill="1" applyBorder="1" applyAlignment="1">
      <alignment horizontal="center" vertical="distributed" wrapText="1"/>
    </xf>
    <xf numFmtId="174" fontId="75" fillId="0" borderId="33" xfId="1" applyNumberFormat="1" applyFont="1" applyFill="1" applyBorder="1" applyAlignment="1">
      <alignment horizontal="center" vertical="center" wrapText="1"/>
    </xf>
    <xf numFmtId="174" fontId="75" fillId="0" borderId="34" xfId="1" applyNumberFormat="1" applyFont="1" applyFill="1" applyBorder="1" applyAlignment="1">
      <alignment horizontal="center" vertical="distributed" wrapText="1"/>
    </xf>
    <xf numFmtId="43" fontId="75" fillId="0" borderId="33" xfId="1" applyFont="1" applyFill="1" applyBorder="1" applyAlignment="1">
      <alignment horizontal="center" vertical="distributed" wrapText="1"/>
    </xf>
    <xf numFmtId="2" fontId="3" fillId="0" borderId="33" xfId="1" applyNumberFormat="1" applyFont="1" applyFill="1" applyBorder="1" applyAlignment="1">
      <alignment horizontal="center" vertical="center" wrapText="1"/>
    </xf>
    <xf numFmtId="17" fontId="3" fillId="28" borderId="45" xfId="283" quotePrefix="1" applyNumberFormat="1" applyFont="1" applyFill="1" applyBorder="1" applyAlignment="1">
      <alignment horizontal="left" vertical="center" wrapText="1"/>
    </xf>
    <xf numFmtId="0" fontId="3" fillId="28" borderId="45" xfId="3032" applyFont="1" applyFill="1" applyBorder="1" applyAlignment="1">
      <alignment horizontal="center" vertical="center" wrapText="1"/>
    </xf>
    <xf numFmtId="43" fontId="3" fillId="28" borderId="47" xfId="1" applyFont="1" applyFill="1" applyBorder="1" applyAlignment="1">
      <alignment horizontal="center" vertical="center" wrapText="1"/>
    </xf>
    <xf numFmtId="43" fontId="3" fillId="28" borderId="45" xfId="1" applyFont="1" applyFill="1" applyBorder="1" applyAlignment="1">
      <alignment horizontal="center" vertical="center" wrapText="1"/>
    </xf>
    <xf numFmtId="43" fontId="3" fillId="28" borderId="46" xfId="1" applyFont="1" applyFill="1" applyBorder="1" applyAlignment="1">
      <alignment horizontal="center" vertical="center" wrapText="1"/>
    </xf>
    <xf numFmtId="43" fontId="3" fillId="28" borderId="28" xfId="1" applyFont="1" applyFill="1" applyBorder="1" applyAlignment="1">
      <alignment horizontal="center" vertical="center" wrapText="1"/>
    </xf>
    <xf numFmtId="43" fontId="3" fillId="28" borderId="47" xfId="1" applyFont="1" applyFill="1" applyBorder="1" applyAlignment="1">
      <alignment horizontal="center" vertical="distributed" wrapText="1"/>
    </xf>
    <xf numFmtId="43" fontId="3" fillId="28" borderId="45" xfId="1" applyFont="1" applyFill="1" applyBorder="1" applyAlignment="1">
      <alignment horizontal="center" vertical="distributed" wrapText="1"/>
    </xf>
    <xf numFmtId="0" fontId="3" fillId="28" borderId="45" xfId="3032" applyFont="1" applyFill="1" applyBorder="1" applyAlignment="1">
      <alignment horizontal="left" vertical="distributed" wrapText="1"/>
    </xf>
    <xf numFmtId="0" fontId="66" fillId="29" borderId="0" xfId="430" applyFont="1" applyFill="1" applyAlignment="1">
      <alignment horizontal="right" vertical="center"/>
    </xf>
    <xf numFmtId="49" fontId="67" fillId="29" borderId="0" xfId="430" applyNumberFormat="1" applyFont="1" applyFill="1" applyAlignment="1">
      <alignment horizontal="left" vertical="center"/>
    </xf>
    <xf numFmtId="0" fontId="67" fillId="29" borderId="0" xfId="430" applyFont="1" applyFill="1" applyAlignment="1">
      <alignment horizontal="left" vertical="center"/>
    </xf>
    <xf numFmtId="0" fontId="47" fillId="0" borderId="93" xfId="0" applyFont="1" applyBorder="1" applyAlignment="1">
      <alignment vertical="center"/>
    </xf>
    <xf numFmtId="1" fontId="3" fillId="0" borderId="34" xfId="5879" applyNumberFormat="1" applyFont="1" applyBorder="1" applyAlignment="1">
      <alignment horizontal="center" vertical="center" wrapText="1"/>
    </xf>
    <xf numFmtId="1" fontId="3" fillId="0" borderId="35" xfId="5879" applyNumberFormat="1" applyFont="1" applyBorder="1" applyAlignment="1">
      <alignment horizontal="center" vertical="center" wrapText="1"/>
    </xf>
    <xf numFmtId="2" fontId="3" fillId="0" borderId="32" xfId="5879" applyNumberFormat="1" applyFont="1" applyBorder="1" applyAlignment="1">
      <alignment horizontal="center" vertical="center" wrapText="1"/>
    </xf>
    <xf numFmtId="0" fontId="3" fillId="0" borderId="45" xfId="3032" applyFont="1" applyBorder="1" applyAlignment="1">
      <alignment horizontal="center" vertical="center" wrapText="1"/>
    </xf>
    <xf numFmtId="43" fontId="3" fillId="0" borderId="45" xfId="1" applyFont="1" applyFill="1" applyBorder="1" applyAlignment="1">
      <alignment horizontal="center" vertical="center" wrapText="1"/>
    </xf>
    <xf numFmtId="43" fontId="3" fillId="0" borderId="46" xfId="1" applyFont="1" applyFill="1" applyBorder="1" applyAlignment="1">
      <alignment horizontal="center" vertical="center" wrapText="1"/>
    </xf>
    <xf numFmtId="43" fontId="3" fillId="0" borderId="28" xfId="1" applyFont="1" applyFill="1" applyBorder="1" applyAlignment="1">
      <alignment horizontal="center" vertical="center" wrapText="1"/>
    </xf>
    <xf numFmtId="43" fontId="3" fillId="0" borderId="47" xfId="1" applyFont="1" applyFill="1" applyBorder="1" applyAlignment="1">
      <alignment horizontal="center" vertical="distributed" wrapText="1"/>
    </xf>
    <xf numFmtId="43" fontId="3" fillId="0" borderId="46" xfId="1" applyFont="1" applyFill="1" applyBorder="1" applyAlignment="1">
      <alignment horizontal="center" vertical="distributed" wrapText="1"/>
    </xf>
    <xf numFmtId="174" fontId="3" fillId="0" borderId="33" xfId="1" applyNumberFormat="1" applyFont="1" applyFill="1" applyBorder="1" applyAlignment="1">
      <alignment vertical="center" wrapText="1"/>
    </xf>
    <xf numFmtId="43" fontId="3" fillId="0" borderId="45" xfId="1" applyFont="1" applyFill="1" applyBorder="1" applyAlignment="1">
      <alignment horizontal="center" vertical="distributed" wrapText="1"/>
    </xf>
    <xf numFmtId="0" fontId="3" fillId="28" borderId="45" xfId="283" applyFont="1" applyFill="1" applyBorder="1" applyAlignment="1">
      <alignment horizontal="left" vertical="center" wrapText="1"/>
    </xf>
    <xf numFmtId="0" fontId="62" fillId="37" borderId="13" xfId="0" applyFont="1" applyFill="1" applyBorder="1" applyAlignment="1">
      <alignment horizontal="center" vertical="center"/>
    </xf>
    <xf numFmtId="0" fontId="4" fillId="28" borderId="14" xfId="495" applyFill="1" applyBorder="1" applyAlignment="1">
      <alignment horizontal="center" vertical="center"/>
    </xf>
    <xf numFmtId="0" fontId="4" fillId="28" borderId="82" xfId="495" applyFill="1" applyBorder="1" applyAlignment="1">
      <alignment horizontal="center" vertical="center"/>
    </xf>
    <xf numFmtId="0" fontId="4" fillId="28" borderId="96" xfId="495" applyFill="1" applyBorder="1" applyAlignment="1">
      <alignment horizontal="center" vertical="center"/>
    </xf>
    <xf numFmtId="0" fontId="3" fillId="28" borderId="33" xfId="5876" applyFont="1" applyFill="1" applyBorder="1" applyAlignment="1">
      <alignment horizontal="left" vertical="center" wrapText="1"/>
    </xf>
    <xf numFmtId="207" fontId="3" fillId="28" borderId="34" xfId="5873" applyFont="1" applyFill="1" applyBorder="1" applyAlignment="1" applyProtection="1">
      <alignment horizontal="center" vertical="center" wrapText="1"/>
    </xf>
    <xf numFmtId="207" fontId="3" fillId="28" borderId="33" xfId="5873" applyFont="1" applyFill="1" applyBorder="1" applyAlignment="1" applyProtection="1">
      <alignment horizontal="center" vertical="center" wrapText="1"/>
    </xf>
    <xf numFmtId="207" fontId="3" fillId="28" borderId="32" xfId="5873" applyFont="1" applyFill="1" applyBorder="1" applyAlignment="1" applyProtection="1">
      <alignment horizontal="center" vertical="center" wrapText="1"/>
    </xf>
    <xf numFmtId="207" fontId="3" fillId="28" borderId="35" xfId="5873" applyFont="1" applyFill="1" applyBorder="1" applyAlignment="1" applyProtection="1">
      <alignment horizontal="center" vertical="center" wrapText="1"/>
    </xf>
    <xf numFmtId="207" fontId="3" fillId="28" borderId="34" xfId="5873" applyFont="1" applyFill="1" applyBorder="1" applyAlignment="1" applyProtection="1">
      <alignment horizontal="center" vertical="distributed" wrapText="1"/>
    </xf>
    <xf numFmtId="213" fontId="3" fillId="28" borderId="33" xfId="5873" applyNumberFormat="1" applyFont="1" applyFill="1" applyBorder="1" applyAlignment="1" applyProtection="1">
      <alignment horizontal="center" vertical="center" wrapText="1"/>
    </xf>
    <xf numFmtId="207" fontId="3" fillId="28" borderId="32" xfId="5873" applyFont="1" applyFill="1" applyBorder="1" applyAlignment="1" applyProtection="1">
      <alignment horizontal="center" vertical="distributed" wrapText="1"/>
    </xf>
    <xf numFmtId="212" fontId="3" fillId="28" borderId="33" xfId="5873" applyNumberFormat="1" applyFont="1" applyFill="1" applyBorder="1" applyAlignment="1" applyProtection="1">
      <alignment horizontal="center" vertical="distributed" wrapText="1"/>
    </xf>
    <xf numFmtId="207" fontId="3" fillId="28" borderId="33" xfId="5873" applyFont="1" applyFill="1" applyBorder="1" applyAlignment="1" applyProtection="1">
      <alignment horizontal="center" vertical="distributed" wrapText="1"/>
    </xf>
    <xf numFmtId="192" fontId="3" fillId="28" borderId="33" xfId="5879" applyNumberFormat="1" applyFont="1" applyFill="1" applyBorder="1" applyAlignment="1">
      <alignment horizontal="center" vertical="center" wrapText="1"/>
    </xf>
    <xf numFmtId="0" fontId="3" fillId="28" borderId="33" xfId="5879" applyFont="1" applyFill="1" applyBorder="1" applyAlignment="1">
      <alignment horizontal="left" vertical="center" wrapText="1"/>
    </xf>
    <xf numFmtId="0" fontId="75" fillId="48" borderId="30" xfId="5879" applyFont="1" applyFill="1" applyBorder="1" applyAlignment="1">
      <alignment horizontal="center" vertical="center" wrapText="1"/>
    </xf>
    <xf numFmtId="207" fontId="75" fillId="48" borderId="31" xfId="5873" applyFont="1" applyFill="1" applyBorder="1" applyAlignment="1" applyProtection="1">
      <alignment horizontal="center" vertical="center" wrapText="1"/>
    </xf>
    <xf numFmtId="9" fontId="75" fillId="0" borderId="29" xfId="5871" applyFont="1" applyFill="1" applyBorder="1" applyAlignment="1">
      <alignment horizontal="center" vertical="distributed" wrapText="1"/>
    </xf>
    <xf numFmtId="43" fontId="75" fillId="0" borderId="129" xfId="1" applyFont="1" applyFill="1" applyBorder="1" applyAlignment="1">
      <alignment horizontal="center" vertical="distributed" wrapText="1"/>
    </xf>
    <xf numFmtId="0" fontId="75" fillId="0" borderId="33" xfId="3032" applyFont="1" applyBorder="1" applyAlignment="1">
      <alignment horizontal="left" vertical="center" wrapText="1"/>
    </xf>
    <xf numFmtId="169" fontId="3" fillId="28" borderId="42" xfId="3032" applyNumberFormat="1" applyFont="1" applyFill="1" applyBorder="1" applyAlignment="1">
      <alignment horizontal="center" vertical="distributed" wrapText="1"/>
    </xf>
    <xf numFmtId="0" fontId="3" fillId="28" borderId="53" xfId="3032" applyFont="1" applyFill="1" applyBorder="1" applyAlignment="1">
      <alignment horizontal="center" vertical="distributed" wrapText="1"/>
    </xf>
    <xf numFmtId="0" fontId="3" fillId="0" borderId="53" xfId="3032" applyFont="1" applyBorder="1" applyAlignment="1">
      <alignment vertical="distributed" wrapText="1"/>
    </xf>
    <xf numFmtId="174" fontId="75" fillId="28" borderId="35" xfId="1" applyNumberFormat="1" applyFont="1" applyFill="1" applyBorder="1" applyAlignment="1">
      <alignment horizontal="center" vertical="center" wrapText="1"/>
    </xf>
    <xf numFmtId="174" fontId="75" fillId="28" borderId="34" xfId="1" applyNumberFormat="1" applyFont="1" applyFill="1" applyBorder="1" applyAlignment="1">
      <alignment horizontal="center" vertical="distributed" wrapText="1"/>
    </xf>
    <xf numFmtId="2" fontId="75" fillId="0" borderId="33" xfId="3032" applyNumberFormat="1" applyFont="1" applyBorder="1" applyAlignment="1">
      <alignment horizontal="center" vertical="center" wrapText="1"/>
    </xf>
    <xf numFmtId="2" fontId="75" fillId="0" borderId="53" xfId="3032" applyNumberFormat="1" applyFont="1" applyBorder="1" applyAlignment="1">
      <alignment horizontal="center" vertical="center" wrapText="1"/>
    </xf>
    <xf numFmtId="0" fontId="75" fillId="0" borderId="33" xfId="1" applyNumberFormat="1" applyFont="1" applyFill="1" applyBorder="1" applyAlignment="1">
      <alignment horizontal="center" vertical="center" wrapText="1"/>
    </xf>
    <xf numFmtId="171" fontId="75" fillId="0" borderId="33" xfId="1" applyNumberFormat="1" applyFont="1" applyFill="1" applyBorder="1" applyAlignment="1">
      <alignment horizontal="center" vertical="center" wrapText="1"/>
    </xf>
    <xf numFmtId="2" fontId="75" fillId="0" borderId="33" xfId="1" applyNumberFormat="1" applyFont="1" applyFill="1" applyBorder="1" applyAlignment="1">
      <alignment horizontal="center" vertical="center" wrapText="1"/>
    </xf>
    <xf numFmtId="171" fontId="75" fillId="0" borderId="33" xfId="3032" applyNumberFormat="1" applyFont="1" applyBorder="1" applyAlignment="1">
      <alignment horizontal="right" vertical="center" wrapText="1"/>
    </xf>
    <xf numFmtId="2" fontId="75" fillId="0" borderId="43" xfId="3032" applyNumberFormat="1" applyFont="1" applyBorder="1" applyAlignment="1">
      <alignment horizontal="center" vertical="center" wrapText="1"/>
    </xf>
    <xf numFmtId="171" fontId="75" fillId="0" borderId="32" xfId="1" applyNumberFormat="1" applyFont="1" applyFill="1" applyBorder="1" applyAlignment="1">
      <alignment horizontal="center" vertical="center" wrapText="1"/>
    </xf>
    <xf numFmtId="2" fontId="75" fillId="0" borderId="34" xfId="1" applyNumberFormat="1" applyFont="1" applyFill="1" applyBorder="1" applyAlignment="1">
      <alignment horizontal="center" vertical="center" wrapText="1"/>
    </xf>
    <xf numFmtId="1" fontId="75" fillId="0" borderId="32" xfId="3032" applyNumberFormat="1" applyFont="1" applyBorder="1" applyAlignment="1">
      <alignment horizontal="center" vertical="center" wrapText="1"/>
    </xf>
    <xf numFmtId="171" fontId="75" fillId="0" borderId="32" xfId="3032" applyNumberFormat="1" applyFont="1" applyBorder="1" applyAlignment="1">
      <alignment horizontal="right" vertical="center" wrapText="1"/>
    </xf>
    <xf numFmtId="2" fontId="75" fillId="28" borderId="33" xfId="3032" applyNumberFormat="1" applyFont="1" applyFill="1" applyBorder="1" applyAlignment="1">
      <alignment horizontal="center" vertical="center" wrapText="1"/>
    </xf>
    <xf numFmtId="171" fontId="75" fillId="28" borderId="41" xfId="3032" applyNumberFormat="1" applyFont="1" applyFill="1" applyBorder="1" applyAlignment="1">
      <alignment horizontal="center" vertical="center" wrapText="1"/>
    </xf>
    <xf numFmtId="1" fontId="75" fillId="0" borderId="53" xfId="3032" applyNumberFormat="1" applyFont="1" applyBorder="1" applyAlignment="1">
      <alignment horizontal="left" vertical="center" wrapText="1"/>
    </xf>
    <xf numFmtId="171" fontId="75" fillId="0" borderId="53" xfId="3032" applyNumberFormat="1" applyFont="1" applyBorder="1" applyAlignment="1">
      <alignment horizontal="center" vertical="center" wrapText="1"/>
    </xf>
    <xf numFmtId="192" fontId="3" fillId="28" borderId="126" xfId="3032" applyNumberFormat="1" applyFont="1" applyFill="1" applyBorder="1" applyAlignment="1">
      <alignment horizontal="center" vertical="center" wrapText="1"/>
    </xf>
    <xf numFmtId="174" fontId="75" fillId="0" borderId="33" xfId="1" applyNumberFormat="1" applyFont="1" applyFill="1" applyBorder="1" applyAlignment="1">
      <alignment horizontal="right" vertical="distributed" wrapText="1"/>
    </xf>
    <xf numFmtId="0" fontId="63" fillId="32" borderId="82" xfId="0" applyFont="1" applyFill="1" applyBorder="1" applyAlignment="1">
      <alignment horizontal="center" vertical="center"/>
    </xf>
    <xf numFmtId="0" fontId="165" fillId="0" borderId="82" xfId="0" applyFont="1" applyBorder="1" applyAlignment="1">
      <alignment horizontal="center" vertical="center"/>
    </xf>
    <xf numFmtId="14" fontId="6" fillId="0" borderId="63" xfId="0" applyNumberFormat="1" applyFont="1" applyBorder="1" applyAlignment="1">
      <alignment horizontal="center" vertical="center"/>
    </xf>
    <xf numFmtId="0" fontId="6" fillId="0" borderId="66" xfId="0" applyFont="1" applyBorder="1" applyAlignment="1">
      <alignment horizontal="center" vertical="center"/>
    </xf>
    <xf numFmtId="0" fontId="6" fillId="0" borderId="63" xfId="0" applyFont="1" applyBorder="1" applyAlignment="1">
      <alignment horizontal="center" vertical="center"/>
    </xf>
    <xf numFmtId="4" fontId="6" fillId="0" borderId="66" xfId="0" applyNumberFormat="1" applyFont="1" applyBorder="1" applyAlignment="1">
      <alignment horizontal="center" vertical="center"/>
    </xf>
    <xf numFmtId="189" fontId="6" fillId="0" borderId="66" xfId="0" applyNumberFormat="1" applyFont="1" applyBorder="1" applyAlignment="1">
      <alignment horizontal="center" vertical="center"/>
    </xf>
    <xf numFmtId="4" fontId="6" fillId="0" borderId="74" xfId="0" applyNumberFormat="1" applyFont="1" applyBorder="1" applyAlignment="1">
      <alignment horizontal="center" vertical="center"/>
    </xf>
    <xf numFmtId="10" fontId="6" fillId="0" borderId="73" xfId="0" applyNumberFormat="1" applyFont="1" applyBorder="1" applyAlignment="1">
      <alignment horizontal="center" vertical="center"/>
    </xf>
    <xf numFmtId="10" fontId="6" fillId="0" borderId="74" xfId="0" applyNumberFormat="1" applyFont="1" applyBorder="1" applyAlignment="1">
      <alignment horizontal="center" vertical="center"/>
    </xf>
    <xf numFmtId="0" fontId="6" fillId="25" borderId="73" xfId="0" applyFont="1" applyFill="1" applyBorder="1" applyAlignment="1">
      <alignment horizontal="center" vertical="center"/>
    </xf>
    <xf numFmtId="14" fontId="6" fillId="25" borderId="63" xfId="0" applyNumberFormat="1" applyFont="1" applyFill="1" applyBorder="1" applyAlignment="1">
      <alignment horizontal="center" vertical="center"/>
    </xf>
    <xf numFmtId="0" fontId="6" fillId="25" borderId="66" xfId="0" applyFont="1" applyFill="1" applyBorder="1" applyAlignment="1">
      <alignment horizontal="center" vertical="center"/>
    </xf>
    <xf numFmtId="0" fontId="6" fillId="25" borderId="63" xfId="0" applyFont="1" applyFill="1" applyBorder="1" applyAlignment="1">
      <alignment horizontal="center" vertical="center"/>
    </xf>
    <xf numFmtId="4" fontId="6" fillId="25" borderId="66" xfId="0" applyNumberFormat="1" applyFont="1" applyFill="1" applyBorder="1" applyAlignment="1">
      <alignment horizontal="center" vertical="center"/>
    </xf>
    <xf numFmtId="189" fontId="6" fillId="25" borderId="66" xfId="0" applyNumberFormat="1" applyFont="1" applyFill="1" applyBorder="1" applyAlignment="1">
      <alignment horizontal="center" vertical="center"/>
    </xf>
    <xf numFmtId="4" fontId="6" fillId="25" borderId="74" xfId="0" applyNumberFormat="1" applyFont="1" applyFill="1" applyBorder="1" applyAlignment="1">
      <alignment horizontal="center" vertical="center"/>
    </xf>
    <xf numFmtId="10" fontId="6" fillId="25" borderId="73" xfId="0" applyNumberFormat="1" applyFont="1" applyFill="1" applyBorder="1" applyAlignment="1">
      <alignment horizontal="center" vertical="center"/>
    </xf>
    <xf numFmtId="10" fontId="6" fillId="25" borderId="74" xfId="0" applyNumberFormat="1" applyFont="1" applyFill="1" applyBorder="1" applyAlignment="1">
      <alignment horizontal="center" vertical="center"/>
    </xf>
    <xf numFmtId="14" fontId="81" fillId="0" borderId="63" xfId="0" applyNumberFormat="1" applyFont="1" applyBorder="1" applyAlignment="1">
      <alignment horizontal="center" vertical="center"/>
    </xf>
    <xf numFmtId="0" fontId="81" fillId="0" borderId="66" xfId="0" applyFont="1" applyBorder="1" applyAlignment="1">
      <alignment horizontal="center" vertical="center"/>
    </xf>
    <xf numFmtId="0" fontId="81" fillId="0" borderId="63" xfId="0" applyFont="1" applyBorder="1" applyAlignment="1">
      <alignment horizontal="center" vertical="center"/>
    </xf>
    <xf numFmtId="4" fontId="81" fillId="0" borderId="66" xfId="0" applyNumberFormat="1" applyFont="1" applyBorder="1" applyAlignment="1">
      <alignment horizontal="center" vertical="center"/>
    </xf>
    <xf numFmtId="189" fontId="81" fillId="0" borderId="66" xfId="0" applyNumberFormat="1" applyFont="1" applyBorder="1" applyAlignment="1">
      <alignment horizontal="center" vertical="center"/>
    </xf>
    <xf numFmtId="4" fontId="81" fillId="0" borderId="74" xfId="0" applyNumberFormat="1" applyFont="1" applyBorder="1" applyAlignment="1">
      <alignment horizontal="center" vertical="center"/>
    </xf>
    <xf numFmtId="10" fontId="81" fillId="0" borderId="73" xfId="0" applyNumberFormat="1" applyFont="1" applyBorder="1" applyAlignment="1">
      <alignment horizontal="center" vertical="center"/>
    </xf>
    <xf numFmtId="10" fontId="81" fillId="0" borderId="74" xfId="0" applyNumberFormat="1" applyFont="1" applyBorder="1" applyAlignment="1">
      <alignment horizontal="center" vertical="center"/>
    </xf>
    <xf numFmtId="214" fontId="6" fillId="28" borderId="130" xfId="0" applyNumberFormat="1" applyFont="1" applyFill="1" applyBorder="1" applyAlignment="1">
      <alignment horizontal="center" vertical="center"/>
    </xf>
    <xf numFmtId="214" fontId="6" fillId="28" borderId="73" xfId="0" applyNumberFormat="1" applyFont="1" applyFill="1" applyBorder="1" applyAlignment="1">
      <alignment horizontal="center" vertical="center"/>
    </xf>
    <xf numFmtId="214" fontId="81" fillId="28" borderId="73" xfId="0" applyNumberFormat="1" applyFont="1" applyFill="1" applyBorder="1" applyAlignment="1">
      <alignment horizontal="center" vertical="center"/>
    </xf>
    <xf numFmtId="0" fontId="63" fillId="0" borderId="82" xfId="0" applyFont="1" applyBorder="1"/>
    <xf numFmtId="0" fontId="53" fillId="25" borderId="105" xfId="0" applyFont="1" applyFill="1" applyBorder="1" applyAlignment="1">
      <alignment vertical="center"/>
    </xf>
    <xf numFmtId="0" fontId="105" fillId="0" borderId="105" xfId="0" applyFont="1" applyBorder="1" applyAlignment="1">
      <alignment vertical="center"/>
    </xf>
    <xf numFmtId="17" fontId="28" fillId="35" borderId="105" xfId="0" applyNumberFormat="1" applyFont="1" applyFill="1" applyBorder="1" applyAlignment="1">
      <alignment vertical="center"/>
    </xf>
    <xf numFmtId="0" fontId="28" fillId="37" borderId="10" xfId="0" applyFont="1" applyFill="1" applyBorder="1" applyAlignment="1">
      <alignment horizontal="center" vertical="center"/>
    </xf>
    <xf numFmtId="0" fontId="26" fillId="0" borderId="105" xfId="0" applyFont="1" applyBorder="1" applyAlignment="1">
      <alignment horizontal="center" vertical="center"/>
    </xf>
    <xf numFmtId="0" fontId="63" fillId="0" borderId="105" xfId="0" applyFont="1" applyBorder="1"/>
    <xf numFmtId="0" fontId="28" fillId="0" borderId="0" xfId="0" applyFont="1" applyAlignment="1">
      <alignment horizontal="center" vertical="center"/>
    </xf>
    <xf numFmtId="0" fontId="27" fillId="0" borderId="0" xfId="0" applyFont="1"/>
    <xf numFmtId="0" fontId="84" fillId="28" borderId="0" xfId="0" applyFont="1" applyFill="1"/>
    <xf numFmtId="0" fontId="3" fillId="28" borderId="0" xfId="0" applyFont="1" applyFill="1"/>
    <xf numFmtId="0" fontId="96" fillId="28" borderId="9" xfId="0" applyFont="1" applyFill="1" applyBorder="1" applyAlignment="1">
      <alignment vertical="center"/>
    </xf>
    <xf numFmtId="0" fontId="28" fillId="28" borderId="107" xfId="3032" applyFont="1" applyFill="1" applyBorder="1" applyAlignment="1">
      <alignment horizontal="center" vertical="center" wrapText="1"/>
    </xf>
    <xf numFmtId="17" fontId="75" fillId="28" borderId="33" xfId="283" applyNumberFormat="1" applyFont="1" applyFill="1" applyBorder="1" applyAlignment="1">
      <alignment horizontal="left" vertical="center" wrapText="1"/>
    </xf>
    <xf numFmtId="2" fontId="75" fillId="28" borderId="33" xfId="5879" applyNumberFormat="1" applyFont="1" applyFill="1" applyBorder="1" applyAlignment="1">
      <alignment horizontal="right" vertical="center" wrapText="1"/>
    </xf>
    <xf numFmtId="0" fontId="75" fillId="48" borderId="33" xfId="5879" applyFont="1" applyFill="1" applyBorder="1" applyAlignment="1">
      <alignment horizontal="center" vertical="center" wrapText="1"/>
    </xf>
    <xf numFmtId="207" fontId="75" fillId="48" borderId="31" xfId="5873" applyFont="1" applyFill="1" applyBorder="1" applyAlignment="1" applyProtection="1">
      <alignment horizontal="center" vertical="distributed" wrapText="1"/>
    </xf>
    <xf numFmtId="0" fontId="75" fillId="48" borderId="30" xfId="5876" applyFont="1" applyFill="1" applyBorder="1" applyAlignment="1">
      <alignment horizontal="left" vertical="center" wrapText="1"/>
    </xf>
    <xf numFmtId="207" fontId="75" fillId="48" borderId="30" xfId="5873" applyFont="1" applyFill="1" applyBorder="1" applyAlignment="1" applyProtection="1">
      <alignment horizontal="center" vertical="center" wrapText="1"/>
    </xf>
    <xf numFmtId="207" fontId="75" fillId="48" borderId="29" xfId="5873" applyFont="1" applyFill="1" applyBorder="1" applyAlignment="1" applyProtection="1">
      <alignment horizontal="center" vertical="center" wrapText="1"/>
    </xf>
    <xf numFmtId="207" fontId="75" fillId="48" borderId="39" xfId="5873" applyFont="1" applyFill="1" applyBorder="1" applyAlignment="1" applyProtection="1">
      <alignment horizontal="center" vertical="center" wrapText="1"/>
    </xf>
    <xf numFmtId="207" fontId="75" fillId="48" borderId="29" xfId="5873" applyFont="1" applyFill="1" applyBorder="1" applyAlignment="1" applyProtection="1">
      <alignment horizontal="center" vertical="distributed" wrapText="1"/>
    </xf>
    <xf numFmtId="212" fontId="75" fillId="48" borderId="30" xfId="5873" applyNumberFormat="1" applyFont="1" applyFill="1" applyBorder="1" applyAlignment="1" applyProtection="1">
      <alignment horizontal="center" vertical="distributed" wrapText="1"/>
    </xf>
    <xf numFmtId="207" fontId="75" fillId="48" borderId="30" xfId="5873" applyFont="1" applyFill="1" applyBorder="1" applyAlignment="1" applyProtection="1">
      <alignment horizontal="center" vertical="distributed" wrapText="1"/>
    </xf>
    <xf numFmtId="192" fontId="75" fillId="48" borderId="30" xfId="5879" applyNumberFormat="1" applyFont="1" applyFill="1" applyBorder="1" applyAlignment="1">
      <alignment horizontal="center" vertical="center" wrapText="1"/>
    </xf>
    <xf numFmtId="0" fontId="75" fillId="48" borderId="30" xfId="5879" applyFont="1" applyFill="1" applyBorder="1" applyAlignment="1">
      <alignment horizontal="left" vertical="center" wrapText="1"/>
    </xf>
    <xf numFmtId="1" fontId="75" fillId="0" borderId="34" xfId="5879" applyNumberFormat="1" applyFont="1" applyBorder="1" applyAlignment="1">
      <alignment horizontal="center" vertical="center" wrapText="1"/>
    </xf>
    <xf numFmtId="1" fontId="75" fillId="0" borderId="35" xfId="5879" applyNumberFormat="1" applyFont="1" applyBorder="1" applyAlignment="1">
      <alignment horizontal="center" vertical="center" wrapText="1"/>
    </xf>
    <xf numFmtId="2" fontId="75" fillId="0" borderId="32" xfId="5879" applyNumberFormat="1" applyFont="1" applyBorder="1" applyAlignment="1">
      <alignment horizontal="center" vertical="center" wrapText="1"/>
    </xf>
    <xf numFmtId="0" fontId="75" fillId="28" borderId="53" xfId="283" applyFont="1" applyFill="1" applyBorder="1" applyAlignment="1">
      <alignment horizontal="left" vertical="center" wrapText="1"/>
    </xf>
    <xf numFmtId="171" fontId="75" fillId="0" borderId="41" xfId="3032" applyNumberFormat="1" applyFont="1" applyBorder="1" applyAlignment="1">
      <alignment horizontal="center" vertical="center" wrapText="1"/>
    </xf>
    <xf numFmtId="171" fontId="75" fillId="0" borderId="43" xfId="3032" applyNumberFormat="1" applyFont="1" applyBorder="1" applyAlignment="1">
      <alignment horizontal="center" vertical="center" wrapText="1"/>
    </xf>
    <xf numFmtId="43" fontId="75" fillId="0" borderId="42" xfId="1" applyFont="1" applyFill="1" applyBorder="1" applyAlignment="1">
      <alignment horizontal="center" vertical="distributed" wrapText="1"/>
    </xf>
    <xf numFmtId="192" fontId="75" fillId="28" borderId="45" xfId="3032" applyNumberFormat="1" applyFont="1" applyFill="1" applyBorder="1" applyAlignment="1">
      <alignment horizontal="center" vertical="center" wrapText="1"/>
    </xf>
    <xf numFmtId="171" fontId="3" fillId="0" borderId="33" xfId="3032" applyNumberFormat="1" applyFont="1" applyBorder="1" applyAlignment="1">
      <alignment horizontal="center" vertical="center" wrapText="1"/>
    </xf>
    <xf numFmtId="0" fontId="75" fillId="0" borderId="53" xfId="3032" applyFont="1" applyBorder="1" applyAlignment="1">
      <alignment horizontal="left" vertical="distributed" wrapText="1"/>
    </xf>
    <xf numFmtId="171" fontId="3" fillId="0" borderId="33" xfId="1" applyNumberFormat="1" applyFont="1" applyFill="1" applyBorder="1" applyAlignment="1">
      <alignment horizontal="center" vertical="center" wrapText="1"/>
    </xf>
    <xf numFmtId="171" fontId="3" fillId="0" borderId="33" xfId="3032" applyNumberFormat="1" applyFont="1" applyBorder="1" applyAlignment="1">
      <alignment horizontal="right" vertical="center" wrapText="1"/>
    </xf>
    <xf numFmtId="1" fontId="75" fillId="28" borderId="43" xfId="3032" applyNumberFormat="1" applyFont="1" applyFill="1" applyBorder="1" applyAlignment="1">
      <alignment horizontal="center" vertical="center" wrapText="1"/>
    </xf>
    <xf numFmtId="1" fontId="75" fillId="28" borderId="41" xfId="3032" applyNumberFormat="1" applyFont="1" applyFill="1" applyBorder="1" applyAlignment="1">
      <alignment horizontal="center" vertical="center" wrapText="1"/>
    </xf>
    <xf numFmtId="2" fontId="75" fillId="28" borderId="42" xfId="3032" applyNumberFormat="1" applyFont="1" applyFill="1" applyBorder="1" applyAlignment="1">
      <alignment horizontal="center" vertical="center" wrapText="1"/>
    </xf>
    <xf numFmtId="207" fontId="75" fillId="47" borderId="33" xfId="5873" applyFont="1" applyFill="1" applyBorder="1" applyAlignment="1" applyProtection="1">
      <alignment horizontal="center" vertical="distributed" wrapText="1"/>
    </xf>
    <xf numFmtId="43" fontId="75" fillId="28" borderId="42" xfId="1" applyFont="1" applyFill="1" applyBorder="1" applyAlignment="1">
      <alignment horizontal="center" vertical="distributed" wrapText="1"/>
    </xf>
    <xf numFmtId="212" fontId="75" fillId="47" borderId="33" xfId="5873" applyNumberFormat="1" applyFont="1" applyFill="1" applyBorder="1" applyAlignment="1" applyProtection="1">
      <alignment horizontal="center" vertical="distributed" wrapText="1"/>
    </xf>
    <xf numFmtId="2" fontId="75" fillId="0" borderId="41" xfId="3032" applyNumberFormat="1" applyFont="1" applyBorder="1" applyAlignment="1">
      <alignment horizontal="center" vertical="center" wrapText="1"/>
    </xf>
    <xf numFmtId="2" fontId="75" fillId="0" borderId="41" xfId="3032" applyNumberFormat="1" applyFont="1" applyBorder="1" applyAlignment="1">
      <alignment horizontal="center" vertical="distributed" wrapText="1"/>
    </xf>
    <xf numFmtId="2" fontId="75" fillId="0" borderId="42" xfId="3032" applyNumberFormat="1" applyFont="1" applyBorder="1" applyAlignment="1">
      <alignment horizontal="center" vertical="distributed" wrapText="1"/>
    </xf>
    <xf numFmtId="192" fontId="75" fillId="0" borderId="30" xfId="3032" applyNumberFormat="1" applyFont="1" applyBorder="1" applyAlignment="1">
      <alignment horizontal="center" vertical="center" wrapText="1"/>
    </xf>
    <xf numFmtId="2" fontId="75" fillId="28" borderId="43" xfId="3032" applyNumberFormat="1" applyFont="1" applyFill="1" applyBorder="1" applyAlignment="1">
      <alignment horizontal="center" vertical="center" wrapText="1"/>
    </xf>
    <xf numFmtId="174" fontId="75" fillId="28" borderId="53" xfId="1" applyNumberFormat="1" applyFont="1" applyFill="1" applyBorder="1" applyAlignment="1">
      <alignment horizontal="right" vertical="distributed" wrapText="1"/>
    </xf>
    <xf numFmtId="2" fontId="75" fillId="0" borderId="121" xfId="3032" applyNumberFormat="1" applyFont="1" applyBorder="1" applyAlignment="1">
      <alignment horizontal="center" vertical="center" wrapText="1"/>
    </xf>
    <xf numFmtId="2" fontId="75" fillId="0" borderId="0" xfId="3032" applyNumberFormat="1" applyFont="1" applyAlignment="1">
      <alignment horizontal="center" vertical="center" wrapText="1"/>
    </xf>
    <xf numFmtId="2" fontId="75" fillId="0" borderId="122" xfId="3032" applyNumberFormat="1" applyFont="1" applyBorder="1" applyAlignment="1">
      <alignment horizontal="center" vertical="center" wrapText="1"/>
    </xf>
    <xf numFmtId="2" fontId="75" fillId="0" borderId="34" xfId="3032" applyNumberFormat="1" applyFont="1" applyBorder="1" applyAlignment="1">
      <alignment horizontal="center" vertical="center" wrapText="1"/>
    </xf>
    <xf numFmtId="0" fontId="75" fillId="0" borderId="53" xfId="1" applyNumberFormat="1" applyFont="1" applyFill="1" applyBorder="1" applyAlignment="1">
      <alignment horizontal="center" vertical="center" wrapText="1"/>
    </xf>
    <xf numFmtId="2" fontId="75" fillId="0" borderId="41" xfId="1" applyNumberFormat="1" applyFont="1" applyFill="1" applyBorder="1" applyAlignment="1">
      <alignment horizontal="center" vertical="center" wrapText="1"/>
    </xf>
    <xf numFmtId="0" fontId="75" fillId="0" borderId="43" xfId="1" applyNumberFormat="1" applyFont="1" applyFill="1" applyBorder="1" applyAlignment="1">
      <alignment horizontal="center" vertical="center" wrapText="1"/>
    </xf>
    <xf numFmtId="171" fontId="75" fillId="0" borderId="53" xfId="3032" applyNumberFormat="1" applyFont="1" applyBorder="1" applyAlignment="1">
      <alignment horizontal="right" vertical="center" wrapText="1"/>
    </xf>
    <xf numFmtId="192" fontId="75" fillId="28" borderId="107" xfId="3032" applyNumberFormat="1" applyFont="1" applyFill="1" applyBorder="1" applyAlignment="1">
      <alignment horizontal="center" vertical="center" wrapText="1"/>
    </xf>
    <xf numFmtId="192" fontId="75" fillId="28" borderId="30" xfId="3032" applyNumberFormat="1" applyFont="1" applyFill="1" applyBorder="1" applyAlignment="1">
      <alignment horizontal="center" vertical="center" wrapText="1"/>
    </xf>
    <xf numFmtId="43" fontId="75" fillId="0" borderId="31" xfId="1" applyFont="1" applyFill="1" applyBorder="1" applyAlignment="1">
      <alignment horizontal="center" vertical="distributed" wrapText="1"/>
    </xf>
    <xf numFmtId="43" fontId="75" fillId="0" borderId="29" xfId="1" applyFont="1" applyFill="1" applyBorder="1" applyAlignment="1">
      <alignment horizontal="center" vertical="distributed" wrapText="1"/>
    </xf>
    <xf numFmtId="43" fontId="75" fillId="0" borderId="30" xfId="1" applyFont="1" applyFill="1" applyBorder="1" applyAlignment="1">
      <alignment horizontal="center" vertical="distributed" wrapText="1"/>
    </xf>
    <xf numFmtId="0" fontId="75" fillId="28" borderId="30" xfId="283" applyFont="1" applyFill="1" applyBorder="1" applyAlignment="1">
      <alignment horizontal="left" vertical="center" wrapText="1"/>
    </xf>
    <xf numFmtId="43" fontId="75" fillId="28" borderId="30" xfId="1" applyFont="1" applyFill="1" applyBorder="1" applyAlignment="1">
      <alignment horizontal="center" vertical="center" wrapText="1"/>
    </xf>
    <xf numFmtId="43" fontId="75" fillId="28" borderId="30" xfId="1" applyFont="1" applyFill="1" applyBorder="1" applyAlignment="1">
      <alignment horizontal="center" vertical="distributed" wrapText="1"/>
    </xf>
    <xf numFmtId="174" fontId="75" fillId="28" borderId="30" xfId="1" applyNumberFormat="1" applyFont="1" applyFill="1" applyBorder="1" applyAlignment="1">
      <alignment horizontal="center" vertical="distributed" wrapText="1"/>
    </xf>
    <xf numFmtId="0" fontId="108" fillId="0" borderId="82" xfId="0" applyFont="1" applyBorder="1" applyAlignment="1">
      <alignment horizontal="center" vertical="center" wrapText="1"/>
    </xf>
    <xf numFmtId="0" fontId="108" fillId="0" borderId="82" xfId="0" applyFont="1" applyBorder="1" applyAlignment="1">
      <alignment horizontal="center" vertical="center"/>
    </xf>
    <xf numFmtId="0" fontId="109" fillId="0" borderId="82" xfId="0" applyFont="1" applyBorder="1" applyAlignment="1">
      <alignment horizontal="center" vertical="center" wrapText="1"/>
    </xf>
    <xf numFmtId="0" fontId="104" fillId="0" borderId="0" xfId="0" applyFont="1" applyAlignment="1">
      <alignment horizontal="center" vertical="center" wrapText="1"/>
    </xf>
    <xf numFmtId="0" fontId="104" fillId="32" borderId="0" xfId="0" applyFont="1" applyFill="1" applyAlignment="1">
      <alignment horizontal="center" vertical="center" wrapText="1"/>
    </xf>
    <xf numFmtId="0" fontId="4" fillId="0" borderId="0" xfId="3032" applyAlignment="1">
      <alignment vertical="center"/>
    </xf>
    <xf numFmtId="169" fontId="4" fillId="28" borderId="0" xfId="3032" applyNumberFormat="1" applyFill="1" applyAlignment="1">
      <alignment horizontal="center" vertical="center"/>
    </xf>
    <xf numFmtId="169" fontId="61" fillId="28" borderId="0" xfId="3032" applyNumberFormat="1" applyFont="1" applyFill="1" applyAlignment="1">
      <alignment horizontal="right" vertical="center"/>
    </xf>
    <xf numFmtId="43" fontId="51" fillId="0" borderId="0" xfId="1" applyFont="1" applyAlignment="1" applyProtection="1">
      <alignment horizontal="right" vertical="center"/>
      <protection locked="0"/>
    </xf>
    <xf numFmtId="0" fontId="166" fillId="0" borderId="0" xfId="0" applyFont="1" applyAlignment="1">
      <alignment horizontal="left" vertical="center" wrapText="1"/>
    </xf>
    <xf numFmtId="17" fontId="28" fillId="35" borderId="106" xfId="0" quotePrefix="1" applyNumberFormat="1" applyFont="1" applyFill="1" applyBorder="1" applyAlignment="1">
      <alignment vertical="center"/>
    </xf>
    <xf numFmtId="17" fontId="28" fillId="35" borderId="105" xfId="0" quotePrefix="1" applyNumberFormat="1" applyFont="1" applyFill="1" applyBorder="1" applyAlignment="1">
      <alignment vertical="center"/>
    </xf>
    <xf numFmtId="0" fontId="105" fillId="0" borderId="106" xfId="0" applyFont="1" applyBorder="1" applyAlignment="1">
      <alignment vertical="center"/>
    </xf>
    <xf numFmtId="0" fontId="63" fillId="34" borderId="105" xfId="0" applyFont="1" applyFill="1" applyBorder="1"/>
    <xf numFmtId="0" fontId="96" fillId="28" borderId="93" xfId="0" applyFont="1" applyFill="1" applyBorder="1" applyAlignment="1">
      <alignment vertical="center"/>
    </xf>
    <xf numFmtId="0" fontId="62" fillId="0" borderId="0" xfId="0" applyFont="1" applyAlignment="1">
      <alignment vertical="center"/>
    </xf>
    <xf numFmtId="0" fontId="63" fillId="0" borderId="122" xfId="0" applyFont="1" applyBorder="1"/>
    <xf numFmtId="0" fontId="0" fillId="0" borderId="0" xfId="0" applyAlignment="1">
      <alignment horizontal="center" vertical="center"/>
    </xf>
    <xf numFmtId="0" fontId="0" fillId="0" borderId="93" xfId="0" applyBorder="1" applyAlignment="1">
      <alignment horizontal="center" vertical="center"/>
    </xf>
    <xf numFmtId="0" fontId="3" fillId="0" borderId="0" xfId="0" applyFont="1" applyAlignment="1">
      <alignment horizontal="left" vertical="center" wrapText="1"/>
    </xf>
    <xf numFmtId="0" fontId="2" fillId="28" borderId="0" xfId="0" applyFont="1" applyFill="1"/>
    <xf numFmtId="0" fontId="0" fillId="28" borderId="0" xfId="0" applyFill="1" applyAlignment="1">
      <alignment horizontal="center"/>
    </xf>
    <xf numFmtId="0" fontId="3" fillId="28" borderId="0" xfId="0" applyFont="1" applyFill="1" applyAlignment="1">
      <alignment vertical="center" wrapText="1"/>
    </xf>
    <xf numFmtId="0" fontId="3" fillId="28" borderId="0" xfId="0" applyFont="1" applyFill="1" applyAlignment="1">
      <alignment horizontal="center"/>
    </xf>
    <xf numFmtId="0" fontId="2" fillId="28" borderId="0" xfId="0" applyFont="1" applyFill="1" applyAlignment="1">
      <alignment horizontal="center"/>
    </xf>
    <xf numFmtId="0" fontId="113" fillId="28" borderId="93" xfId="0" applyFont="1" applyFill="1" applyBorder="1" applyAlignment="1">
      <alignment vertical="center"/>
    </xf>
    <xf numFmtId="0" fontId="6" fillId="25" borderId="34" xfId="0" applyFont="1" applyFill="1" applyBorder="1" applyAlignment="1">
      <alignment horizontal="center" vertical="center"/>
    </xf>
    <xf numFmtId="0" fontId="6" fillId="25" borderId="32" xfId="0" applyFont="1" applyFill="1" applyBorder="1" applyAlignment="1">
      <alignment horizontal="center" vertical="center"/>
    </xf>
    <xf numFmtId="43" fontId="75" fillId="28" borderId="39" xfId="1" applyFont="1" applyFill="1" applyBorder="1" applyAlignment="1">
      <alignment horizontal="center" vertical="center" wrapText="1"/>
    </xf>
    <xf numFmtId="43" fontId="75" fillId="28" borderId="47" xfId="1" applyFont="1" applyFill="1" applyBorder="1" applyAlignment="1">
      <alignment horizontal="center" vertical="distributed" wrapText="1"/>
    </xf>
    <xf numFmtId="0" fontId="75" fillId="28" borderId="45" xfId="283" applyFont="1" applyFill="1" applyBorder="1" applyAlignment="1">
      <alignment horizontal="left" vertical="center" wrapText="1"/>
    </xf>
    <xf numFmtId="43" fontId="75" fillId="28" borderId="45" xfId="1" applyFont="1" applyFill="1" applyBorder="1" applyAlignment="1">
      <alignment horizontal="center" vertical="center" wrapText="1"/>
    </xf>
    <xf numFmtId="43" fontId="75" fillId="28" borderId="28" xfId="1" applyFont="1" applyFill="1" applyBorder="1" applyAlignment="1">
      <alignment horizontal="center" vertical="center" wrapText="1"/>
    </xf>
    <xf numFmtId="43" fontId="75" fillId="28" borderId="45" xfId="1" applyFont="1" applyFill="1" applyBorder="1" applyAlignment="1">
      <alignment horizontal="center" vertical="distributed" wrapText="1"/>
    </xf>
    <xf numFmtId="1" fontId="75" fillId="47" borderId="34" xfId="5879" applyNumberFormat="1" applyFont="1" applyFill="1" applyBorder="1" applyAlignment="1">
      <alignment horizontal="center" vertical="center" wrapText="1"/>
    </xf>
    <xf numFmtId="1" fontId="75" fillId="47" borderId="35" xfId="5879" applyNumberFormat="1" applyFont="1" applyFill="1" applyBorder="1" applyAlignment="1">
      <alignment horizontal="center" vertical="center" wrapText="1"/>
    </xf>
    <xf numFmtId="2" fontId="75" fillId="47" borderId="32" xfId="5879" applyNumberFormat="1" applyFont="1" applyFill="1" applyBorder="1" applyAlignment="1">
      <alignment horizontal="left" vertical="center" wrapText="1"/>
    </xf>
    <xf numFmtId="1" fontId="75" fillId="28" borderId="47" xfId="3032" applyNumberFormat="1" applyFont="1" applyFill="1" applyBorder="1" applyAlignment="1">
      <alignment horizontal="right" vertical="center" wrapText="1"/>
    </xf>
    <xf numFmtId="1" fontId="75" fillId="28" borderId="28" xfId="3032" applyNumberFormat="1" applyFont="1" applyFill="1" applyBorder="1" applyAlignment="1">
      <alignment horizontal="center" vertical="center" wrapText="1"/>
    </xf>
    <xf numFmtId="2" fontId="75" fillId="28" borderId="46" xfId="3032" applyNumberFormat="1" applyFont="1" applyFill="1" applyBorder="1" applyAlignment="1">
      <alignment horizontal="left" vertical="center" wrapText="1"/>
    </xf>
    <xf numFmtId="43" fontId="75" fillId="28" borderId="46" xfId="1" applyFont="1" applyFill="1" applyBorder="1" applyAlignment="1">
      <alignment horizontal="center" vertical="center" wrapText="1"/>
    </xf>
    <xf numFmtId="43" fontId="75" fillId="28" borderId="46" xfId="1" applyFont="1" applyFill="1" applyBorder="1" applyAlignment="1">
      <alignment horizontal="center" vertical="distributed" wrapText="1"/>
    </xf>
    <xf numFmtId="0" fontId="75" fillId="0" borderId="45" xfId="3032" applyFont="1" applyBorder="1" applyAlignment="1">
      <alignment horizontal="left" vertical="distributed" wrapText="1"/>
    </xf>
    <xf numFmtId="2" fontId="75" fillId="47" borderId="32" xfId="5879" applyNumberFormat="1" applyFont="1" applyFill="1" applyBorder="1" applyAlignment="1">
      <alignment horizontal="center" vertical="center" wrapText="1"/>
    </xf>
    <xf numFmtId="1" fontId="75" fillId="0" borderId="43" xfId="5879" applyNumberFormat="1" applyFont="1" applyBorder="1" applyAlignment="1">
      <alignment horizontal="center" vertical="center" wrapText="1"/>
    </xf>
    <xf numFmtId="1" fontId="75" fillId="0" borderId="41" xfId="5879" applyNumberFormat="1" applyFont="1" applyBorder="1" applyAlignment="1">
      <alignment horizontal="center" vertical="center" wrapText="1"/>
    </xf>
    <xf numFmtId="2" fontId="75" fillId="0" borderId="42" xfId="5879" applyNumberFormat="1" applyFont="1" applyBorder="1" applyAlignment="1">
      <alignment horizontal="center" vertical="center" wrapText="1"/>
    </xf>
    <xf numFmtId="0" fontId="75" fillId="47" borderId="33" xfId="5879" applyFont="1" applyFill="1" applyBorder="1" applyAlignment="1">
      <alignment horizontal="center" vertical="center" wrapText="1"/>
    </xf>
    <xf numFmtId="207" fontId="75" fillId="47" borderId="34" xfId="5873" applyFont="1" applyFill="1" applyBorder="1" applyAlignment="1" applyProtection="1">
      <alignment horizontal="center" vertical="center" wrapText="1"/>
    </xf>
    <xf numFmtId="207" fontId="75" fillId="47" borderId="33" xfId="5873" applyFont="1" applyFill="1" applyBorder="1" applyAlignment="1" applyProtection="1">
      <alignment horizontal="center" vertical="center" wrapText="1"/>
    </xf>
    <xf numFmtId="207" fontId="75" fillId="47" borderId="32" xfId="5873" applyFont="1" applyFill="1" applyBorder="1" applyAlignment="1" applyProtection="1">
      <alignment horizontal="center" vertical="center" wrapText="1"/>
    </xf>
    <xf numFmtId="207" fontId="75" fillId="47" borderId="35" xfId="5873" applyFont="1" applyFill="1" applyBorder="1" applyAlignment="1" applyProtection="1">
      <alignment horizontal="center" vertical="center" wrapText="1"/>
    </xf>
    <xf numFmtId="207" fontId="75" fillId="47" borderId="34" xfId="5873" applyFont="1" applyFill="1" applyBorder="1" applyAlignment="1" applyProtection="1">
      <alignment horizontal="center" vertical="distributed" wrapText="1"/>
    </xf>
    <xf numFmtId="207" fontId="75" fillId="47" borderId="32" xfId="5873" applyFont="1" applyFill="1" applyBorder="1" applyAlignment="1" applyProtection="1">
      <alignment horizontal="center" vertical="distributed" wrapText="1"/>
    </xf>
    <xf numFmtId="212" fontId="75" fillId="47" borderId="45" xfId="5873" applyNumberFormat="1" applyFont="1" applyFill="1" applyBorder="1" applyAlignment="1" applyProtection="1">
      <alignment horizontal="center" vertical="distributed" wrapText="1"/>
    </xf>
    <xf numFmtId="207" fontId="75" fillId="47" borderId="53" xfId="5873" applyFont="1" applyFill="1" applyBorder="1" applyAlignment="1" applyProtection="1">
      <alignment horizontal="center" vertical="distributed" wrapText="1"/>
    </xf>
    <xf numFmtId="192" fontId="75" fillId="47" borderId="33" xfId="5879" applyNumberFormat="1" applyFont="1" applyFill="1" applyBorder="1" applyAlignment="1">
      <alignment horizontal="center" vertical="center" wrapText="1"/>
    </xf>
    <xf numFmtId="1" fontId="75" fillId="47" borderId="34" xfId="5879" applyNumberFormat="1" applyFont="1" applyFill="1" applyBorder="1" applyAlignment="1">
      <alignment horizontal="right" vertical="center" wrapText="1"/>
    </xf>
    <xf numFmtId="212" fontId="75" fillId="47" borderId="32" xfId="5873" applyNumberFormat="1" applyFont="1" applyFill="1" applyBorder="1" applyAlignment="1" applyProtection="1">
      <alignment horizontal="center" vertical="distributed" wrapText="1"/>
    </xf>
    <xf numFmtId="207" fontId="75" fillId="47" borderId="34" xfId="5873" applyFont="1" applyFill="1" applyBorder="1" applyAlignment="1" applyProtection="1">
      <alignment vertical="center" wrapText="1"/>
    </xf>
    <xf numFmtId="207" fontId="75" fillId="47" borderId="33" xfId="5873" applyFont="1" applyFill="1" applyBorder="1" applyAlignment="1" applyProtection="1">
      <alignment vertical="center" wrapText="1"/>
    </xf>
    <xf numFmtId="1" fontId="75" fillId="47" borderId="38" xfId="5879" applyNumberFormat="1" applyFont="1" applyFill="1" applyBorder="1" applyAlignment="1">
      <alignment horizontal="center" vertical="center" wrapText="1"/>
    </xf>
    <xf numFmtId="1" fontId="75" fillId="47" borderId="44" xfId="5879" applyNumberFormat="1" applyFont="1" applyFill="1" applyBorder="1" applyAlignment="1">
      <alignment horizontal="center" vertical="center" wrapText="1"/>
    </xf>
    <xf numFmtId="2" fontId="75" fillId="47" borderId="36" xfId="5879" applyNumberFormat="1" applyFont="1" applyFill="1" applyBorder="1" applyAlignment="1">
      <alignment horizontal="center" vertical="center" wrapText="1"/>
    </xf>
    <xf numFmtId="1" fontId="75" fillId="47" borderId="38" xfId="5879" applyNumberFormat="1" applyFont="1" applyFill="1" applyBorder="1" applyAlignment="1">
      <alignment horizontal="right" vertical="center" wrapText="1"/>
    </xf>
    <xf numFmtId="2" fontId="75" fillId="47" borderId="36" xfId="5879" applyNumberFormat="1" applyFont="1" applyFill="1" applyBorder="1" applyAlignment="1">
      <alignment horizontal="left" vertical="center" wrapText="1"/>
    </xf>
    <xf numFmtId="0" fontId="75" fillId="0" borderId="37" xfId="5879" applyFont="1" applyBorder="1" applyAlignment="1">
      <alignment horizontal="center" vertical="center" wrapText="1"/>
    </xf>
    <xf numFmtId="207" fontId="75" fillId="47" borderId="38" xfId="5873" applyFont="1" applyFill="1" applyBorder="1" applyAlignment="1" applyProtection="1">
      <alignment vertical="center" wrapText="1"/>
    </xf>
    <xf numFmtId="207" fontId="75" fillId="47" borderId="37" xfId="5873" applyFont="1" applyFill="1" applyBorder="1" applyAlignment="1" applyProtection="1">
      <alignment vertical="center" wrapText="1"/>
    </xf>
    <xf numFmtId="207" fontId="75" fillId="47" borderId="36" xfId="5873" applyFont="1" applyFill="1" applyBorder="1" applyAlignment="1" applyProtection="1">
      <alignment horizontal="center" vertical="center" wrapText="1"/>
    </xf>
    <xf numFmtId="207" fontId="75" fillId="47" borderId="44" xfId="5873" applyFont="1" applyFill="1" applyBorder="1" applyAlignment="1" applyProtection="1">
      <alignment horizontal="center" vertical="center" wrapText="1"/>
    </xf>
    <xf numFmtId="207" fontId="75" fillId="47" borderId="38" xfId="5873" applyFont="1" applyFill="1" applyBorder="1" applyAlignment="1" applyProtection="1">
      <alignment horizontal="center" vertical="distributed" wrapText="1"/>
    </xf>
    <xf numFmtId="207" fontId="75" fillId="47" borderId="37" xfId="5873" applyFont="1" applyFill="1" applyBorder="1" applyAlignment="1" applyProtection="1">
      <alignment horizontal="center" vertical="center" wrapText="1"/>
    </xf>
    <xf numFmtId="207" fontId="75" fillId="47" borderId="36" xfId="5873" applyFont="1" applyFill="1" applyBorder="1" applyAlignment="1" applyProtection="1">
      <alignment horizontal="center" vertical="distributed" wrapText="1"/>
    </xf>
    <xf numFmtId="212" fontId="75" fillId="47" borderId="37" xfId="5873" applyNumberFormat="1" applyFont="1" applyFill="1" applyBorder="1" applyAlignment="1" applyProtection="1">
      <alignment horizontal="center" vertical="distributed" wrapText="1"/>
    </xf>
    <xf numFmtId="207" fontId="75" fillId="47" borderId="37" xfId="5873" applyFont="1" applyFill="1" applyBorder="1" applyAlignment="1" applyProtection="1">
      <alignment horizontal="center" vertical="distributed" wrapText="1"/>
    </xf>
    <xf numFmtId="192" fontId="75" fillId="47" borderId="37" xfId="5879" applyNumberFormat="1" applyFont="1" applyFill="1" applyBorder="1" applyAlignment="1">
      <alignment horizontal="center" vertical="center" wrapText="1"/>
    </xf>
    <xf numFmtId="2" fontId="75" fillId="28" borderId="53" xfId="3032" applyNumberFormat="1" applyFont="1" applyFill="1" applyBorder="1" applyAlignment="1">
      <alignment horizontal="center" vertical="center" wrapText="1"/>
    </xf>
    <xf numFmtId="174" fontId="75" fillId="28" borderId="33" xfId="1" applyNumberFormat="1" applyFont="1" applyFill="1" applyBorder="1" applyAlignment="1">
      <alignment horizontal="right" vertical="distributed" wrapText="1"/>
    </xf>
    <xf numFmtId="174" fontId="75" fillId="0" borderId="107" xfId="1" applyNumberFormat="1" applyFont="1" applyFill="1" applyBorder="1" applyAlignment="1">
      <alignment horizontal="right" vertical="distributed" wrapText="1"/>
    </xf>
    <xf numFmtId="8" fontId="71" fillId="0" borderId="0" xfId="3032" applyNumberFormat="1" applyFont="1"/>
    <xf numFmtId="0" fontId="75" fillId="28" borderId="33" xfId="3032" applyFont="1" applyFill="1" applyBorder="1" applyAlignment="1">
      <alignment horizontal="left" vertical="center" wrapText="1"/>
    </xf>
    <xf numFmtId="43" fontId="60" fillId="0" borderId="0" xfId="1" applyFont="1" applyAlignment="1" applyProtection="1">
      <alignment horizontal="right" vertical="center"/>
      <protection locked="0"/>
    </xf>
    <xf numFmtId="174" fontId="75" fillId="0" borderId="53" xfId="1" applyNumberFormat="1" applyFont="1" applyFill="1" applyBorder="1" applyAlignment="1">
      <alignment horizontal="right" vertical="distributed" wrapText="1"/>
    </xf>
    <xf numFmtId="0" fontId="75" fillId="28" borderId="37" xfId="3032" applyFont="1" applyFill="1" applyBorder="1" applyAlignment="1">
      <alignment horizontal="left" vertical="distributed" wrapText="1"/>
    </xf>
    <xf numFmtId="2" fontId="75" fillId="0" borderId="35" xfId="3032" applyNumberFormat="1" applyFont="1" applyBorder="1" applyAlignment="1">
      <alignment horizontal="center" vertical="center" wrapText="1"/>
    </xf>
    <xf numFmtId="1" fontId="75" fillId="0" borderId="31" xfId="3032" applyNumberFormat="1" applyFont="1" applyBorder="1" applyAlignment="1">
      <alignment horizontal="center" vertical="center" wrapText="1"/>
    </xf>
    <xf numFmtId="1" fontId="75" fillId="0" borderId="39" xfId="3032" applyNumberFormat="1" applyFont="1" applyBorder="1" applyAlignment="1">
      <alignment horizontal="center" vertical="center" wrapText="1"/>
    </xf>
    <xf numFmtId="2" fontId="75" fillId="0" borderId="29" xfId="3032" applyNumberFormat="1" applyFont="1" applyBorder="1" applyAlignment="1">
      <alignment horizontal="center" vertical="center" wrapText="1"/>
    </xf>
    <xf numFmtId="0" fontId="75" fillId="0" borderId="30" xfId="3032" applyFont="1" applyBorder="1" applyAlignment="1">
      <alignment horizontal="left" vertical="distributed" wrapText="1"/>
    </xf>
    <xf numFmtId="0" fontId="28" fillId="28" borderId="92" xfId="3032" applyFont="1" applyFill="1" applyBorder="1" applyAlignment="1">
      <alignment horizontal="center" vertical="center" wrapText="1"/>
    </xf>
    <xf numFmtId="174" fontId="75" fillId="0" borderId="37" xfId="1" applyNumberFormat="1" applyFont="1" applyFill="1" applyBorder="1" applyAlignment="1">
      <alignment horizontal="right" vertical="distributed" wrapText="1"/>
    </xf>
    <xf numFmtId="2" fontId="151" fillId="29" borderId="10" xfId="3032" applyNumberFormat="1" applyFont="1" applyFill="1" applyBorder="1" applyAlignment="1">
      <alignment horizontal="center" vertical="distributed" wrapText="1"/>
    </xf>
    <xf numFmtId="169" fontId="151" fillId="29" borderId="10" xfId="3032" applyNumberFormat="1" applyFont="1" applyFill="1" applyBorder="1" applyAlignment="1">
      <alignment horizontal="center" vertical="center" wrapText="1"/>
    </xf>
    <xf numFmtId="1" fontId="75" fillId="0" borderId="37" xfId="3032" applyNumberFormat="1" applyFont="1" applyBorder="1" applyAlignment="1">
      <alignment horizontal="left" vertical="center" wrapText="1"/>
    </xf>
    <xf numFmtId="2" fontId="75" fillId="0" borderId="44" xfId="3032" applyNumberFormat="1" applyFont="1" applyBorder="1" applyAlignment="1">
      <alignment horizontal="center" vertical="center" wrapText="1"/>
    </xf>
    <xf numFmtId="1" fontId="75" fillId="0" borderId="44" xfId="3032" applyNumberFormat="1" applyFont="1" applyBorder="1" applyAlignment="1">
      <alignment horizontal="center" vertical="distributed" wrapText="1"/>
    </xf>
    <xf numFmtId="2" fontId="75" fillId="0" borderId="36" xfId="3032" applyNumberFormat="1" applyFont="1" applyBorder="1" applyAlignment="1">
      <alignment horizontal="center" vertical="distributed" wrapText="1"/>
    </xf>
    <xf numFmtId="2" fontId="75" fillId="0" borderId="37" xfId="3032" applyNumberFormat="1" applyFont="1" applyBorder="1" applyAlignment="1">
      <alignment horizontal="center" vertical="center" wrapText="1"/>
    </xf>
    <xf numFmtId="2" fontId="75" fillId="28" borderId="38" xfId="3032" applyNumberFormat="1" applyFont="1" applyFill="1" applyBorder="1" applyAlignment="1">
      <alignment horizontal="center" vertical="center" wrapText="1"/>
    </xf>
    <xf numFmtId="2" fontId="75" fillId="28" borderId="37" xfId="3032" applyNumberFormat="1" applyFont="1" applyFill="1" applyBorder="1" applyAlignment="1">
      <alignment horizontal="center" vertical="center" wrapText="1"/>
    </xf>
    <xf numFmtId="171" fontId="75" fillId="28" borderId="44" xfId="3032" applyNumberFormat="1" applyFont="1" applyFill="1" applyBorder="1" applyAlignment="1">
      <alignment horizontal="center" vertical="center" wrapText="1"/>
    </xf>
    <xf numFmtId="174" fontId="75" fillId="28" borderId="37" xfId="1" applyNumberFormat="1" applyFont="1" applyFill="1" applyBorder="1" applyAlignment="1">
      <alignment horizontal="right" vertical="distributed" wrapText="1"/>
    </xf>
    <xf numFmtId="0" fontId="75" fillId="28" borderId="37" xfId="5879" applyFont="1" applyFill="1" applyBorder="1" applyAlignment="1">
      <alignment horizontal="center" vertical="center" wrapText="1"/>
    </xf>
    <xf numFmtId="174" fontId="75" fillId="28" borderId="37" xfId="1" applyNumberFormat="1" applyFont="1" applyFill="1" applyBorder="1" applyAlignment="1">
      <alignment horizontal="center" vertical="distributed" wrapText="1"/>
    </xf>
    <xf numFmtId="2" fontId="75" fillId="28" borderId="37" xfId="5879" applyNumberFormat="1" applyFont="1" applyFill="1" applyBorder="1" applyAlignment="1">
      <alignment horizontal="right" vertical="center" wrapText="1"/>
    </xf>
    <xf numFmtId="43" fontId="75" fillId="28" borderId="44" xfId="1" applyFont="1" applyFill="1" applyBorder="1" applyAlignment="1">
      <alignment horizontal="center" vertical="center" wrapText="1"/>
    </xf>
    <xf numFmtId="0" fontId="90" fillId="28" borderId="37" xfId="3032" applyFont="1" applyFill="1" applyBorder="1" applyAlignment="1">
      <alignment horizontal="left" vertical="center" wrapText="1"/>
    </xf>
    <xf numFmtId="169" fontId="46" fillId="28" borderId="0" xfId="3032" applyNumberFormat="1" applyFont="1" applyFill="1" applyAlignment="1">
      <alignment horizontal="right" vertical="center"/>
    </xf>
    <xf numFmtId="169" fontId="75" fillId="28" borderId="32" xfId="1" applyNumberFormat="1" applyFont="1" applyFill="1" applyBorder="1" applyAlignment="1">
      <alignment horizontal="right" vertical="distributed" wrapText="1"/>
    </xf>
    <xf numFmtId="169" fontId="46" fillId="0" borderId="0" xfId="3032" applyNumberFormat="1" applyFont="1" applyAlignment="1">
      <alignment horizontal="right" vertical="center"/>
    </xf>
    <xf numFmtId="174" fontId="75" fillId="0" borderId="32" xfId="1" applyNumberFormat="1" applyFont="1" applyFill="1" applyBorder="1" applyAlignment="1">
      <alignment horizontal="right" vertical="distributed" wrapText="1"/>
    </xf>
    <xf numFmtId="2" fontId="75" fillId="0" borderId="38" xfId="3032" applyNumberFormat="1" applyFont="1" applyBorder="1" applyAlignment="1">
      <alignment horizontal="center" vertical="center" wrapText="1"/>
    </xf>
    <xf numFmtId="171" fontId="75" fillId="0" borderId="38" xfId="3032" applyNumberFormat="1" applyFont="1" applyBorder="1" applyAlignment="1">
      <alignment horizontal="center" vertical="center" wrapText="1"/>
    </xf>
    <xf numFmtId="174" fontId="75" fillId="0" borderId="36" xfId="1" applyNumberFormat="1" applyFont="1" applyFill="1" applyBorder="1" applyAlignment="1">
      <alignment horizontal="right" vertical="distributed" wrapText="1"/>
    </xf>
    <xf numFmtId="1" fontId="75" fillId="0" borderId="53" xfId="3032" applyNumberFormat="1" applyFont="1" applyBorder="1" applyAlignment="1">
      <alignment horizontal="center" vertical="center" wrapText="1"/>
    </xf>
    <xf numFmtId="174" fontId="75" fillId="0" borderId="42" xfId="1" applyNumberFormat="1" applyFont="1" applyFill="1" applyBorder="1" applyAlignment="1">
      <alignment horizontal="center" vertical="distributed" wrapText="1"/>
    </xf>
    <xf numFmtId="174" fontId="75" fillId="0" borderId="42" xfId="1" applyNumberFormat="1" applyFont="1" applyFill="1" applyBorder="1" applyAlignment="1">
      <alignment horizontal="right" vertical="distributed" wrapText="1"/>
    </xf>
    <xf numFmtId="1" fontId="75" fillId="0" borderId="33" xfId="3032" applyNumberFormat="1" applyFont="1" applyBorder="1" applyAlignment="1">
      <alignment horizontal="left" vertical="center" wrapText="1"/>
    </xf>
    <xf numFmtId="171" fontId="75" fillId="0" borderId="34" xfId="3032" applyNumberFormat="1" applyFont="1" applyBorder="1" applyAlignment="1">
      <alignment horizontal="center" vertical="center" wrapText="1"/>
    </xf>
    <xf numFmtId="43" fontId="75" fillId="0" borderId="107" xfId="1" applyFont="1" applyFill="1" applyBorder="1" applyAlignment="1">
      <alignment horizontal="center" vertical="center" wrapText="1"/>
    </xf>
    <xf numFmtId="43" fontId="75" fillId="0" borderId="110" xfId="1" applyFont="1" applyFill="1" applyBorder="1" applyAlignment="1">
      <alignment horizontal="center" vertical="center" wrapText="1"/>
    </xf>
    <xf numFmtId="43" fontId="75" fillId="0" borderId="109" xfId="1" applyFont="1" applyFill="1" applyBorder="1" applyAlignment="1">
      <alignment horizontal="center" vertical="center" wrapText="1"/>
    </xf>
    <xf numFmtId="43" fontId="75" fillId="0" borderId="107" xfId="1" applyFont="1" applyFill="1" applyBorder="1" applyAlignment="1">
      <alignment horizontal="center" vertical="distributed" wrapText="1"/>
    </xf>
    <xf numFmtId="49" fontId="75" fillId="28" borderId="30" xfId="283" applyNumberFormat="1" applyFont="1" applyFill="1" applyBorder="1" applyAlignment="1">
      <alignment horizontal="center" vertical="center" wrapText="1"/>
    </xf>
    <xf numFmtId="169" fontId="74" fillId="0" borderId="0" xfId="3032" applyNumberFormat="1" applyFont="1" applyAlignment="1">
      <alignment wrapText="1"/>
    </xf>
    <xf numFmtId="0" fontId="74" fillId="0" borderId="122" xfId="3032" applyFont="1" applyBorder="1" applyAlignment="1">
      <alignment wrapText="1"/>
    </xf>
    <xf numFmtId="2" fontId="75" fillId="0" borderId="30" xfId="3032" applyNumberFormat="1" applyFont="1" applyBorder="1" applyAlignment="1">
      <alignment horizontal="center" vertical="center" wrapText="1"/>
    </xf>
    <xf numFmtId="1" fontId="28" fillId="28" borderId="37" xfId="3032" applyNumberFormat="1" applyFont="1" applyFill="1" applyBorder="1" applyAlignment="1">
      <alignment horizontal="center" vertical="center" wrapText="1"/>
    </xf>
    <xf numFmtId="174" fontId="75" fillId="28" borderId="38" xfId="1" applyNumberFormat="1" applyFont="1" applyFill="1" applyBorder="1" applyAlignment="1">
      <alignment horizontal="center" vertical="distributed" wrapText="1"/>
    </xf>
    <xf numFmtId="0" fontId="75" fillId="28" borderId="33" xfId="3032" applyFont="1" applyFill="1" applyBorder="1" applyAlignment="1">
      <alignment horizontal="justify" vertical="distributed" wrapText="1"/>
    </xf>
    <xf numFmtId="0" fontId="167" fillId="28" borderId="0" xfId="439" applyFont="1" applyFill="1"/>
    <xf numFmtId="1" fontId="28" fillId="28" borderId="53" xfId="3032" applyNumberFormat="1" applyFont="1" applyFill="1" applyBorder="1" applyAlignment="1">
      <alignment horizontal="center" vertical="center" wrapText="1"/>
    </xf>
    <xf numFmtId="174" fontId="75" fillId="0" borderId="41" xfId="1" applyNumberFormat="1" applyFont="1" applyFill="1" applyBorder="1" applyAlignment="1">
      <alignment horizontal="center" vertical="center" wrapText="1"/>
    </xf>
    <xf numFmtId="174" fontId="75" fillId="0" borderId="33" xfId="5884" applyNumberFormat="1" applyFont="1" applyFill="1" applyBorder="1" applyAlignment="1">
      <alignment horizontal="center" vertical="center" wrapText="1"/>
    </xf>
    <xf numFmtId="174" fontId="75" fillId="0" borderId="53" xfId="1" applyNumberFormat="1" applyFont="1" applyFill="1" applyBorder="1" applyAlignment="1">
      <alignment horizontal="center" vertical="center" wrapText="1"/>
    </xf>
    <xf numFmtId="174" fontId="75" fillId="28" borderId="13" xfId="1" applyNumberFormat="1" applyFont="1" applyFill="1" applyBorder="1" applyAlignment="1">
      <alignment horizontal="center" vertical="distributed" wrapText="1"/>
    </xf>
    <xf numFmtId="174" fontId="75" fillId="0" borderId="33" xfId="1" applyNumberFormat="1" applyFont="1" applyFill="1" applyBorder="1" applyAlignment="1">
      <alignment vertical="center" wrapText="1"/>
    </xf>
    <xf numFmtId="9" fontId="75" fillId="0" borderId="30" xfId="5871" applyFont="1" applyFill="1" applyBorder="1" applyAlignment="1">
      <alignment horizontal="center" vertical="center" wrapText="1"/>
    </xf>
    <xf numFmtId="9" fontId="75" fillId="0" borderId="45" xfId="5871" applyFont="1" applyFill="1" applyBorder="1" applyAlignment="1">
      <alignment horizontal="center" vertical="center" wrapText="1"/>
    </xf>
    <xf numFmtId="0" fontId="3" fillId="0" borderId="37" xfId="3032" applyFont="1" applyBorder="1" applyAlignment="1">
      <alignment horizontal="center" vertical="distributed" wrapText="1"/>
    </xf>
    <xf numFmtId="174" fontId="75" fillId="0" borderId="35" xfId="1" applyNumberFormat="1" applyFont="1" applyFill="1" applyBorder="1" applyAlignment="1">
      <alignment horizontal="center" vertical="center" wrapText="1"/>
    </xf>
    <xf numFmtId="171" fontId="3" fillId="0" borderId="53" xfId="3032" applyNumberFormat="1" applyFont="1" applyBorder="1" applyAlignment="1">
      <alignment horizontal="center" vertical="center" wrapText="1"/>
    </xf>
    <xf numFmtId="0" fontId="161" fillId="0" borderId="33" xfId="5879" applyFont="1" applyBorder="1" applyAlignment="1">
      <alignment horizontal="left" vertical="distributed" wrapText="1"/>
    </xf>
    <xf numFmtId="174" fontId="3" fillId="28" borderId="32" xfId="1" applyNumberFormat="1" applyFont="1" applyFill="1" applyBorder="1" applyAlignment="1">
      <alignment horizontal="center" vertical="center" wrapText="1"/>
    </xf>
    <xf numFmtId="174" fontId="3" fillId="28" borderId="35" xfId="1" applyNumberFormat="1" applyFont="1" applyFill="1" applyBorder="1" applyAlignment="1">
      <alignment horizontal="center" vertical="center" wrapText="1"/>
    </xf>
    <xf numFmtId="2" fontId="148" fillId="28" borderId="45" xfId="0" applyNumberFormat="1" applyFont="1" applyFill="1" applyBorder="1" applyAlignment="1">
      <alignment horizontal="center" vertical="center"/>
    </xf>
    <xf numFmtId="1" fontId="148" fillId="28" borderId="45" xfId="3043" applyNumberFormat="1" applyFont="1" applyFill="1" applyBorder="1" applyAlignment="1">
      <alignment horizontal="center" vertical="center" wrapText="1"/>
    </xf>
    <xf numFmtId="0" fontId="61" fillId="28" borderId="45" xfId="3042" applyFont="1" applyFill="1" applyBorder="1" applyAlignment="1">
      <alignment horizontal="justify" vertical="center" wrapText="1"/>
    </xf>
    <xf numFmtId="0" fontId="4" fillId="28" borderId="45" xfId="3044" applyFont="1" applyFill="1" applyBorder="1" applyAlignment="1">
      <alignment horizontal="center" vertical="center"/>
    </xf>
    <xf numFmtId="191" fontId="4" fillId="28" borderId="65" xfId="3036" applyFont="1" applyFill="1" applyBorder="1" applyAlignment="1">
      <alignment horizontal="center" vertical="center" wrapText="1"/>
    </xf>
    <xf numFmtId="209" fontId="4" fillId="28" borderId="63" xfId="3036" applyNumberFormat="1" applyFont="1" applyFill="1" applyBorder="1" applyAlignment="1">
      <alignment horizontal="center" vertical="center" wrapText="1"/>
    </xf>
    <xf numFmtId="43" fontId="4" fillId="28" borderId="67" xfId="1" applyFont="1" applyFill="1" applyBorder="1" applyAlignment="1">
      <alignment horizontal="center" vertical="center" wrapText="1"/>
    </xf>
    <xf numFmtId="209" fontId="4" fillId="28" borderId="65" xfId="3036" applyNumberFormat="1" applyFont="1" applyFill="1" applyBorder="1" applyAlignment="1">
      <alignment horizontal="center" vertical="center" wrapText="1"/>
    </xf>
    <xf numFmtId="191" fontId="4" fillId="28" borderId="67" xfId="3036" applyFont="1" applyFill="1" applyBorder="1" applyAlignment="1">
      <alignment horizontal="center" vertical="center" wrapText="1"/>
    </xf>
    <xf numFmtId="1" fontId="148" fillId="28" borderId="45" xfId="3043" applyNumberFormat="1" applyFont="1" applyFill="1" applyBorder="1" applyAlignment="1">
      <alignment horizontal="center" vertical="center"/>
    </xf>
    <xf numFmtId="49" fontId="3" fillId="0" borderId="53" xfId="283" applyNumberFormat="1" applyFont="1" applyBorder="1" applyAlignment="1">
      <alignment horizontal="center" vertical="center" wrapText="1"/>
    </xf>
    <xf numFmtId="1" fontId="3" fillId="0" borderId="126" xfId="3032" applyNumberFormat="1" applyFont="1" applyBorder="1" applyAlignment="1">
      <alignment horizontal="left" vertical="center" wrapText="1"/>
    </xf>
    <xf numFmtId="1" fontId="3" fillId="28" borderId="47" xfId="3032" applyNumberFormat="1" applyFont="1" applyFill="1" applyBorder="1" applyAlignment="1">
      <alignment horizontal="center" vertical="center" wrapText="1"/>
    </xf>
    <xf numFmtId="1" fontId="3" fillId="28" borderId="28" xfId="3032" applyNumberFormat="1" applyFont="1" applyFill="1" applyBorder="1" applyAlignment="1">
      <alignment horizontal="center" vertical="center" wrapText="1"/>
    </xf>
    <xf numFmtId="2" fontId="3" fillId="28" borderId="46" xfId="3032" applyNumberFormat="1" applyFont="1" applyFill="1" applyBorder="1" applyAlignment="1">
      <alignment horizontal="center" vertical="center" wrapText="1"/>
    </xf>
    <xf numFmtId="1" fontId="3" fillId="28" borderId="47" xfId="3032" applyNumberFormat="1" applyFont="1" applyFill="1" applyBorder="1" applyAlignment="1">
      <alignment horizontal="right" vertical="center" wrapText="1"/>
    </xf>
    <xf numFmtId="2" fontId="3" fillId="28" borderId="46" xfId="3032" applyNumberFormat="1" applyFont="1" applyFill="1" applyBorder="1" applyAlignment="1">
      <alignment horizontal="left" vertical="center" wrapText="1"/>
    </xf>
    <xf numFmtId="2" fontId="3" fillId="0" borderId="126" xfId="3032" applyNumberFormat="1" applyFont="1" applyBorder="1" applyAlignment="1">
      <alignment horizontal="center" vertical="center" wrapText="1"/>
    </xf>
    <xf numFmtId="2" fontId="3" fillId="0" borderId="45" xfId="3032" applyNumberFormat="1" applyFont="1" applyBorder="1" applyAlignment="1">
      <alignment horizontal="center" vertical="center" wrapText="1"/>
    </xf>
    <xf numFmtId="171" fontId="3" fillId="0" borderId="0" xfId="3032" applyNumberFormat="1" applyFont="1" applyAlignment="1">
      <alignment horizontal="center" vertical="center" wrapText="1"/>
    </xf>
    <xf numFmtId="43" fontId="3" fillId="0" borderId="121" xfId="1" applyFont="1" applyFill="1" applyBorder="1" applyAlignment="1">
      <alignment horizontal="center" vertical="distributed" wrapText="1"/>
    </xf>
    <xf numFmtId="43" fontId="3" fillId="0" borderId="126" xfId="1" applyFont="1" applyFill="1" applyBorder="1" applyAlignment="1">
      <alignment horizontal="center" vertical="center" wrapText="1"/>
    </xf>
    <xf numFmtId="43" fontId="3" fillId="0" borderId="122" xfId="1" applyFont="1" applyFill="1" applyBorder="1" applyAlignment="1">
      <alignment horizontal="center" vertical="distributed" wrapText="1"/>
    </xf>
    <xf numFmtId="174" fontId="3" fillId="0" borderId="45" xfId="1" applyNumberFormat="1" applyFont="1" applyFill="1" applyBorder="1" applyAlignment="1">
      <alignment horizontal="right" vertical="distributed" wrapText="1"/>
    </xf>
    <xf numFmtId="169" fontId="3" fillId="28" borderId="46" xfId="3032" applyNumberFormat="1" applyFont="1" applyFill="1" applyBorder="1" applyAlignment="1">
      <alignment horizontal="center" vertical="distributed" wrapText="1"/>
    </xf>
    <xf numFmtId="171" fontId="75" fillId="0" borderId="31" xfId="3032" applyNumberFormat="1" applyFont="1" applyBorder="1" applyAlignment="1">
      <alignment horizontal="center" vertical="center" wrapText="1"/>
    </xf>
    <xf numFmtId="174" fontId="75" fillId="0" borderId="29" xfId="1" applyNumberFormat="1" applyFont="1" applyFill="1" applyBorder="1" applyAlignment="1">
      <alignment horizontal="center" vertical="distributed" wrapText="1"/>
    </xf>
    <xf numFmtId="0" fontId="74" fillId="0" borderId="0" xfId="3032" applyFont="1"/>
    <xf numFmtId="215" fontId="74" fillId="0" borderId="0" xfId="3032" applyNumberFormat="1" applyFont="1" applyAlignment="1">
      <alignment horizontal="left" wrapText="1"/>
    </xf>
    <xf numFmtId="171" fontId="74" fillId="0" borderId="30" xfId="3032" applyNumberFormat="1" applyFont="1" applyBorder="1" applyAlignment="1">
      <alignment horizontal="right" wrapText="1"/>
    </xf>
    <xf numFmtId="0" fontId="28" fillId="28" borderId="0" xfId="3032" applyFont="1" applyFill="1" applyAlignment="1">
      <alignment horizontal="center" vertical="center" wrapText="1"/>
    </xf>
    <xf numFmtId="174" fontId="75" fillId="0" borderId="37" xfId="5884" applyNumberFormat="1" applyFont="1" applyFill="1" applyBorder="1" applyAlignment="1">
      <alignment horizontal="center" vertical="center" wrapText="1"/>
    </xf>
    <xf numFmtId="174" fontId="75" fillId="0" borderId="44" xfId="1" applyNumberFormat="1" applyFont="1" applyFill="1" applyBorder="1" applyAlignment="1">
      <alignment horizontal="center" vertical="center" wrapText="1"/>
    </xf>
    <xf numFmtId="1" fontId="75" fillId="0" borderId="47" xfId="3032" applyNumberFormat="1" applyFont="1" applyBorder="1" applyAlignment="1">
      <alignment horizontal="right" vertical="center" wrapText="1"/>
    </xf>
    <xf numFmtId="2" fontId="75" fillId="0" borderId="46" xfId="3032" applyNumberFormat="1" applyFont="1" applyBorder="1" applyAlignment="1">
      <alignment horizontal="left" vertical="center" wrapText="1"/>
    </xf>
    <xf numFmtId="43" fontId="75" fillId="0" borderId="47" xfId="1" applyFont="1" applyFill="1" applyBorder="1" applyAlignment="1">
      <alignment horizontal="center" vertical="center" wrapText="1"/>
    </xf>
    <xf numFmtId="1" fontId="4" fillId="28" borderId="0" xfId="3052" applyNumberFormat="1" applyFont="1" applyFill="1" applyAlignment="1">
      <alignment horizontal="left" vertical="center" wrapText="1"/>
    </xf>
    <xf numFmtId="169" fontId="4" fillId="28" borderId="0" xfId="3052" applyNumberFormat="1" applyFont="1" applyFill="1" applyAlignment="1">
      <alignment horizontal="right" vertical="center" wrapText="1"/>
    </xf>
    <xf numFmtId="1" fontId="4" fillId="28" borderId="8" xfId="3052" applyNumberFormat="1" applyFont="1" applyFill="1" applyBorder="1" applyAlignment="1">
      <alignment horizontal="center" vertical="center" wrapText="1"/>
    </xf>
    <xf numFmtId="1" fontId="4" fillId="28" borderId="9" xfId="3052" applyNumberFormat="1" applyFont="1" applyFill="1" applyBorder="1" applyAlignment="1">
      <alignment horizontal="left" vertical="center" wrapText="1"/>
    </xf>
    <xf numFmtId="169" fontId="4" fillId="28" borderId="9" xfId="3052" applyNumberFormat="1" applyFont="1" applyFill="1" applyBorder="1" applyAlignment="1">
      <alignment horizontal="right" vertical="center" wrapText="1"/>
    </xf>
    <xf numFmtId="1" fontId="4" fillId="28" borderId="10" xfId="3052" applyNumberFormat="1" applyFont="1" applyFill="1" applyBorder="1" applyAlignment="1">
      <alignment horizontal="center" vertical="center" wrapText="1"/>
    </xf>
    <xf numFmtId="0" fontId="28" fillId="28" borderId="0" xfId="3032" applyFont="1" applyFill="1" applyAlignment="1">
      <alignment horizontal="center" wrapText="1"/>
    </xf>
    <xf numFmtId="0" fontId="3" fillId="28" borderId="0" xfId="3032" applyFont="1" applyFill="1" applyAlignment="1">
      <alignment horizontal="center" wrapText="1"/>
    </xf>
    <xf numFmtId="0" fontId="28" fillId="28" borderId="0" xfId="430" applyFont="1" applyFill="1" applyAlignment="1">
      <alignment horizontal="center" vertical="center" wrapText="1"/>
    </xf>
    <xf numFmtId="0" fontId="26" fillId="28" borderId="0" xfId="3032" applyFont="1" applyFill="1" applyAlignment="1">
      <alignment horizontal="center" vertical="center" wrapText="1"/>
    </xf>
    <xf numFmtId="0" fontId="48" fillId="31" borderId="0" xfId="3032" applyFont="1" applyFill="1" applyAlignment="1">
      <alignment horizontal="left" vertical="center" wrapText="1"/>
    </xf>
    <xf numFmtId="0" fontId="47" fillId="31" borderId="0" xfId="3032" applyFont="1" applyFill="1" applyAlignment="1">
      <alignment vertical="center" wrapText="1"/>
    </xf>
    <xf numFmtId="49" fontId="47" fillId="31" borderId="0" xfId="3032" applyNumberFormat="1" applyFont="1" applyFill="1" applyAlignment="1">
      <alignment vertical="center" wrapText="1"/>
    </xf>
    <xf numFmtId="14" fontId="47" fillId="31" borderId="0" xfId="3032" applyNumberFormat="1" applyFont="1" applyFill="1" applyAlignment="1">
      <alignment horizontal="left" vertical="center" wrapText="1"/>
    </xf>
    <xf numFmtId="0" fontId="48" fillId="31" borderId="0" xfId="3032" applyFont="1" applyFill="1" applyAlignment="1">
      <alignment horizontal="left" vertical="center"/>
    </xf>
    <xf numFmtId="0" fontId="28" fillId="31" borderId="0" xfId="3032" applyFont="1" applyFill="1" applyAlignment="1">
      <alignment horizontal="center" vertical="center" wrapText="1"/>
    </xf>
    <xf numFmtId="0" fontId="87" fillId="28" borderId="0" xfId="3032" applyFont="1" applyFill="1" applyAlignment="1">
      <alignment horizontal="center" vertical="center" wrapText="1"/>
    </xf>
    <xf numFmtId="0" fontId="3" fillId="31" borderId="0" xfId="3032" applyFont="1" applyFill="1" applyAlignment="1">
      <alignment horizontal="center" wrapText="1"/>
    </xf>
    <xf numFmtId="1" fontId="54" fillId="25" borderId="106" xfId="3052" applyNumberFormat="1" applyFont="1" applyFill="1" applyBorder="1" applyAlignment="1">
      <alignment horizontal="center" vertical="center" wrapText="1"/>
    </xf>
    <xf numFmtId="0" fontId="5" fillId="25" borderId="106" xfId="3052" applyFont="1" applyFill="1" applyBorder="1" applyAlignment="1">
      <alignment vertical="center" wrapText="1"/>
    </xf>
    <xf numFmtId="1" fontId="4" fillId="28" borderId="9" xfId="3052" applyNumberFormat="1" applyFont="1" applyFill="1" applyBorder="1" applyAlignment="1">
      <alignment horizontal="center" vertical="center" wrapText="1"/>
    </xf>
    <xf numFmtId="1" fontId="4" fillId="28" borderId="109" xfId="3052" applyNumberFormat="1" applyFont="1" applyFill="1" applyBorder="1" applyAlignment="1">
      <alignment horizontal="center" vertical="center" wrapText="1"/>
    </xf>
    <xf numFmtId="1" fontId="4" fillId="25" borderId="106" xfId="3052" applyNumberFormat="1" applyFont="1" applyFill="1" applyBorder="1" applyAlignment="1">
      <alignment horizontal="center" vertical="center" wrapText="1"/>
    </xf>
    <xf numFmtId="1" fontId="4" fillId="28" borderId="106" xfId="3052" applyNumberFormat="1" applyFont="1" applyFill="1" applyBorder="1" applyAlignment="1">
      <alignment horizontal="center" vertical="center" wrapText="1"/>
    </xf>
    <xf numFmtId="1" fontId="4" fillId="28" borderId="0" xfId="3052" applyNumberFormat="1" applyFont="1" applyFill="1" applyAlignment="1">
      <alignment horizontal="center" vertical="center" wrapText="1"/>
    </xf>
    <xf numFmtId="1" fontId="4" fillId="25" borderId="9" xfId="3052" applyNumberFormat="1" applyFont="1" applyFill="1" applyBorder="1" applyAlignment="1">
      <alignment horizontal="center" vertical="center" wrapText="1"/>
    </xf>
    <xf numFmtId="1" fontId="4" fillId="25" borderId="9" xfId="3052" applyNumberFormat="1" applyFont="1" applyFill="1" applyBorder="1" applyAlignment="1">
      <alignment horizontal="left" vertical="center" wrapText="1"/>
    </xf>
    <xf numFmtId="169" fontId="4" fillId="25" borderId="9" xfId="3052" applyNumberFormat="1" applyFont="1" applyFill="1" applyBorder="1" applyAlignment="1">
      <alignment horizontal="right" vertical="center" wrapText="1"/>
    </xf>
    <xf numFmtId="0" fontId="60" fillId="28" borderId="0" xfId="3032" applyFont="1" applyFill="1" applyAlignment="1" applyProtection="1">
      <alignment horizontal="center" vertical="center" wrapText="1"/>
      <protection locked="0"/>
    </xf>
    <xf numFmtId="0" fontId="60" fillId="0" borderId="0" xfId="3032" applyFont="1" applyAlignment="1" applyProtection="1">
      <alignment horizontal="center" vertical="center" wrapText="1"/>
      <protection locked="0"/>
    </xf>
    <xf numFmtId="0" fontId="24" fillId="28" borderId="0" xfId="3032" applyFont="1" applyFill="1" applyAlignment="1" applyProtection="1">
      <alignment horizontal="center" vertical="center" wrapText="1"/>
      <protection locked="0"/>
    </xf>
    <xf numFmtId="169" fontId="5" fillId="25" borderId="106" xfId="3052" applyNumberFormat="1" applyFont="1" applyFill="1" applyBorder="1" applyAlignment="1">
      <alignment horizontal="right" vertical="center" wrapText="1"/>
    </xf>
    <xf numFmtId="1" fontId="5" fillId="25" borderId="106" xfId="3052" applyNumberFormat="1" applyFont="1" applyFill="1" applyBorder="1" applyAlignment="1">
      <alignment horizontal="center" vertical="center" wrapText="1"/>
    </xf>
    <xf numFmtId="0" fontId="4" fillId="28" borderId="106" xfId="3052" applyFont="1" applyFill="1" applyBorder="1" applyAlignment="1">
      <alignment horizontal="left" vertical="center" wrapText="1"/>
    </xf>
    <xf numFmtId="1" fontId="28" fillId="28" borderId="13" xfId="0" applyNumberFormat="1" applyFont="1" applyFill="1" applyBorder="1" applyAlignment="1">
      <alignment vertical="center" wrapText="1"/>
    </xf>
    <xf numFmtId="0" fontId="28" fillId="28" borderId="9" xfId="0" applyFont="1" applyFill="1" applyBorder="1" applyAlignment="1">
      <alignment vertical="center" wrapText="1"/>
    </xf>
    <xf numFmtId="0" fontId="3" fillId="0" borderId="9" xfId="3032" applyFont="1" applyBorder="1" applyAlignment="1">
      <alignment wrapText="1"/>
    </xf>
    <xf numFmtId="0" fontId="3" fillId="0" borderId="10" xfId="3032" applyFont="1" applyBorder="1" applyAlignment="1">
      <alignment wrapText="1"/>
    </xf>
    <xf numFmtId="2" fontId="75" fillId="0" borderId="44" xfId="3032" applyNumberFormat="1" applyFont="1" applyBorder="1" applyAlignment="1">
      <alignment horizontal="center" vertical="distributed" wrapText="1"/>
    </xf>
    <xf numFmtId="171" fontId="75" fillId="0" borderId="44" xfId="3032" applyNumberFormat="1" applyFont="1" applyBorder="1" applyAlignment="1">
      <alignment horizontal="center" vertical="center" wrapText="1"/>
    </xf>
    <xf numFmtId="1" fontId="75" fillId="0" borderId="30" xfId="3032" applyNumberFormat="1" applyFont="1" applyBorder="1" applyAlignment="1">
      <alignment horizontal="left" vertical="center" wrapText="1"/>
    </xf>
    <xf numFmtId="2" fontId="75" fillId="0" borderId="39" xfId="3032" applyNumberFormat="1" applyFont="1" applyBorder="1" applyAlignment="1">
      <alignment horizontal="center" vertical="center" wrapText="1"/>
    </xf>
    <xf numFmtId="2" fontId="75" fillId="0" borderId="39" xfId="3032" applyNumberFormat="1" applyFont="1" applyBorder="1" applyAlignment="1">
      <alignment horizontal="center" vertical="distributed" wrapText="1"/>
    </xf>
    <xf numFmtId="2" fontId="75" fillId="0" borderId="29" xfId="3032" applyNumberFormat="1" applyFont="1" applyBorder="1" applyAlignment="1">
      <alignment horizontal="center" vertical="distributed" wrapText="1"/>
    </xf>
    <xf numFmtId="2" fontId="75" fillId="0" borderId="31" xfId="3032" applyNumberFormat="1" applyFont="1" applyBorder="1" applyAlignment="1">
      <alignment horizontal="center" vertical="center" wrapText="1"/>
    </xf>
    <xf numFmtId="171" fontId="75" fillId="0" borderId="39" xfId="3032" applyNumberFormat="1" applyFont="1" applyBorder="1" applyAlignment="1">
      <alignment horizontal="center" vertical="center" wrapText="1"/>
    </xf>
    <xf numFmtId="174" fontId="75" fillId="0" borderId="30" xfId="1" applyNumberFormat="1" applyFont="1" applyFill="1" applyBorder="1" applyAlignment="1">
      <alignment horizontal="right" vertical="distributed" wrapText="1"/>
    </xf>
    <xf numFmtId="0" fontId="3" fillId="0" borderId="30" xfId="3032" applyFont="1" applyBorder="1" applyAlignment="1">
      <alignment horizontal="left" vertical="center" wrapText="1"/>
    </xf>
    <xf numFmtId="0" fontId="75" fillId="0" borderId="30" xfId="5876" applyFont="1" applyBorder="1" applyAlignment="1">
      <alignment horizontal="left" vertical="center" wrapText="1"/>
    </xf>
    <xf numFmtId="0" fontId="75" fillId="0" borderId="30" xfId="5879" applyFont="1" applyBorder="1" applyAlignment="1">
      <alignment horizontal="center" vertical="center" wrapText="1"/>
    </xf>
    <xf numFmtId="207" fontId="75" fillId="0" borderId="31" xfId="5873" applyFont="1" applyBorder="1" applyAlignment="1" applyProtection="1">
      <alignment horizontal="center" vertical="center" wrapText="1"/>
    </xf>
    <xf numFmtId="207" fontId="75" fillId="0" borderId="30" xfId="5873" applyFont="1" applyBorder="1" applyAlignment="1" applyProtection="1">
      <alignment horizontal="center" vertical="center" wrapText="1"/>
    </xf>
    <xf numFmtId="207" fontId="75" fillId="0" borderId="29" xfId="5873" applyFont="1" applyBorder="1" applyAlignment="1" applyProtection="1">
      <alignment horizontal="center" vertical="center" wrapText="1"/>
    </xf>
    <xf numFmtId="207" fontId="75" fillId="0" borderId="39" xfId="5873" applyFont="1" applyBorder="1" applyAlignment="1" applyProtection="1">
      <alignment horizontal="center" vertical="center" wrapText="1"/>
    </xf>
    <xf numFmtId="207" fontId="75" fillId="0" borderId="31" xfId="5873" applyFont="1" applyBorder="1" applyAlignment="1" applyProtection="1">
      <alignment horizontal="center" vertical="distributed" wrapText="1"/>
    </xf>
    <xf numFmtId="207" fontId="75" fillId="0" borderId="29" xfId="5873" applyFont="1" applyBorder="1" applyAlignment="1" applyProtection="1">
      <alignment horizontal="center" vertical="distributed" wrapText="1"/>
    </xf>
    <xf numFmtId="212" fontId="75" fillId="0" borderId="30" xfId="5873" applyNumberFormat="1" applyFont="1" applyBorder="1" applyAlignment="1" applyProtection="1">
      <alignment horizontal="center" vertical="distributed" wrapText="1"/>
    </xf>
    <xf numFmtId="207" fontId="75" fillId="0" borderId="30" xfId="5873" applyFont="1" applyBorder="1" applyAlignment="1" applyProtection="1">
      <alignment horizontal="center" vertical="distributed" wrapText="1"/>
    </xf>
    <xf numFmtId="192" fontId="75" fillId="0" borderId="30" xfId="5879" applyNumberFormat="1" applyFont="1" applyBorder="1" applyAlignment="1">
      <alignment horizontal="center" vertical="center" wrapText="1"/>
    </xf>
    <xf numFmtId="0" fontId="75" fillId="0" borderId="30" xfId="5879" applyFont="1" applyBorder="1" applyAlignment="1">
      <alignment horizontal="left" vertical="center" wrapText="1"/>
    </xf>
    <xf numFmtId="212" fontId="75" fillId="0" borderId="33" xfId="5873" applyNumberFormat="1" applyFont="1" applyBorder="1" applyAlignment="1" applyProtection="1">
      <alignment horizontal="center" vertical="center" wrapText="1"/>
    </xf>
    <xf numFmtId="207" fontId="75" fillId="0" borderId="126" xfId="5873" applyFont="1" applyBorder="1" applyAlignment="1" applyProtection="1">
      <alignment horizontal="center" vertical="distributed" wrapText="1"/>
    </xf>
    <xf numFmtId="2" fontId="75" fillId="0" borderId="33" xfId="5879" applyNumberFormat="1" applyFont="1" applyBorder="1" applyAlignment="1">
      <alignment horizontal="right" vertical="center" wrapText="1"/>
    </xf>
    <xf numFmtId="0" fontId="75" fillId="0" borderId="107" xfId="283" applyFont="1" applyBorder="1" applyAlignment="1">
      <alignment horizontal="left" vertical="center" wrapText="1"/>
    </xf>
    <xf numFmtId="207" fontId="75" fillId="0" borderId="108" xfId="5873" applyFont="1" applyBorder="1" applyAlignment="1" applyProtection="1">
      <alignment horizontal="center" vertical="distributed" wrapText="1"/>
    </xf>
    <xf numFmtId="207" fontId="75" fillId="0" borderId="107" xfId="5873" applyFont="1" applyBorder="1" applyAlignment="1" applyProtection="1">
      <alignment horizontal="center" vertical="center" wrapText="1"/>
    </xf>
    <xf numFmtId="207" fontId="75" fillId="0" borderId="110" xfId="5873" applyFont="1" applyBorder="1" applyAlignment="1" applyProtection="1">
      <alignment horizontal="center" vertical="distributed" wrapText="1"/>
    </xf>
    <xf numFmtId="212" fontId="75" fillId="0" borderId="107" xfId="5873" applyNumberFormat="1" applyFont="1" applyBorder="1" applyAlignment="1" applyProtection="1">
      <alignment horizontal="center" vertical="distributed" wrapText="1"/>
    </xf>
    <xf numFmtId="192" fontId="75" fillId="0" borderId="107" xfId="3032" applyNumberFormat="1" applyFont="1" applyBorder="1" applyAlignment="1">
      <alignment horizontal="center" vertical="center" wrapText="1"/>
    </xf>
    <xf numFmtId="43" fontId="75" fillId="0" borderId="41" xfId="1" applyFont="1" applyFill="1" applyBorder="1" applyAlignment="1">
      <alignment horizontal="center" vertical="center" wrapText="1"/>
    </xf>
    <xf numFmtId="49" fontId="75" fillId="28" borderId="126" xfId="283" applyNumberFormat="1" applyFont="1" applyFill="1" applyBorder="1" applyAlignment="1">
      <alignment horizontal="center" vertical="center" wrapText="1"/>
    </xf>
    <xf numFmtId="1" fontId="75" fillId="0" borderId="126" xfId="3032" applyNumberFormat="1" applyFont="1" applyBorder="1" applyAlignment="1">
      <alignment horizontal="left" vertical="center" wrapText="1"/>
    </xf>
    <xf numFmtId="2" fontId="75" fillId="0" borderId="45" xfId="3032" applyNumberFormat="1" applyFont="1" applyBorder="1" applyAlignment="1">
      <alignment horizontal="center" vertical="center" wrapText="1"/>
    </xf>
    <xf numFmtId="2" fontId="75" fillId="0" borderId="126" xfId="3032" applyNumberFormat="1" applyFont="1" applyBorder="1" applyAlignment="1">
      <alignment horizontal="center" vertical="center" wrapText="1"/>
    </xf>
    <xf numFmtId="171" fontId="75" fillId="0" borderId="121" xfId="3032" applyNumberFormat="1" applyFont="1" applyBorder="1" applyAlignment="1">
      <alignment horizontal="center" vertical="center" wrapText="1"/>
    </xf>
    <xf numFmtId="192" fontId="75" fillId="28" borderId="126" xfId="3032" applyNumberFormat="1" applyFont="1" applyFill="1" applyBorder="1" applyAlignment="1">
      <alignment horizontal="center" vertical="center" wrapText="1"/>
    </xf>
    <xf numFmtId="0" fontId="75" fillId="0" borderId="126" xfId="3032" applyFont="1" applyBorder="1" applyAlignment="1">
      <alignment horizontal="left" vertical="distributed" wrapText="1"/>
    </xf>
    <xf numFmtId="174" fontId="75" fillId="0" borderId="45" xfId="1" applyNumberFormat="1" applyFont="1" applyFill="1" applyBorder="1" applyAlignment="1">
      <alignment horizontal="right" vertical="distributed" wrapText="1"/>
    </xf>
    <xf numFmtId="49" fontId="90" fillId="0" borderId="13" xfId="283" applyNumberFormat="1" applyFont="1" applyBorder="1" applyAlignment="1">
      <alignment horizontal="center" vertical="center" wrapText="1"/>
    </xf>
    <xf numFmtId="0" fontId="75" fillId="0" borderId="13" xfId="283" applyFont="1" applyBorder="1" applyAlignment="1">
      <alignment horizontal="left" vertical="center" wrapText="1"/>
    </xf>
    <xf numFmtId="1" fontId="75" fillId="0" borderId="8" xfId="3032" applyNumberFormat="1" applyFont="1" applyBorder="1" applyAlignment="1">
      <alignment horizontal="center" vertical="center" wrapText="1"/>
    </xf>
    <xf numFmtId="2" fontId="75" fillId="0" borderId="10" xfId="3032" applyNumberFormat="1" applyFont="1" applyBorder="1" applyAlignment="1">
      <alignment horizontal="center" vertical="center" wrapText="1"/>
    </xf>
    <xf numFmtId="0" fontId="75" fillId="0" borderId="13" xfId="3032" applyFont="1" applyBorder="1" applyAlignment="1">
      <alignment horizontal="center" vertical="center" wrapText="1"/>
    </xf>
    <xf numFmtId="43" fontId="75" fillId="0" borderId="13" xfId="1" applyFont="1" applyFill="1" applyBorder="1" applyAlignment="1">
      <alignment horizontal="center" vertical="center" wrapText="1"/>
    </xf>
    <xf numFmtId="43" fontId="75" fillId="0" borderId="10" xfId="1" applyFont="1" applyFill="1" applyBorder="1" applyAlignment="1">
      <alignment horizontal="center" vertical="center" wrapText="1"/>
    </xf>
    <xf numFmtId="43" fontId="75" fillId="0" borderId="8" xfId="1" applyFont="1" applyFill="1" applyBorder="1" applyAlignment="1">
      <alignment horizontal="center" vertical="distributed" wrapText="1"/>
    </xf>
    <xf numFmtId="43" fontId="75" fillId="0" borderId="10" xfId="1" applyFont="1" applyFill="1" applyBorder="1" applyAlignment="1">
      <alignment horizontal="center" vertical="distributed" wrapText="1"/>
    </xf>
    <xf numFmtId="174" fontId="75" fillId="0" borderId="13" xfId="1" applyNumberFormat="1" applyFont="1" applyFill="1" applyBorder="1" applyAlignment="1">
      <alignment horizontal="right" vertical="distributed" wrapText="1"/>
    </xf>
    <xf numFmtId="43" fontId="75" fillId="0" borderId="13" xfId="1" applyFont="1" applyFill="1" applyBorder="1" applyAlignment="1">
      <alignment horizontal="center" vertical="distributed" wrapText="1"/>
    </xf>
    <xf numFmtId="192" fontId="75" fillId="0" borderId="13" xfId="3032" applyNumberFormat="1" applyFont="1" applyBorder="1" applyAlignment="1">
      <alignment horizontal="center" vertical="center" wrapText="1"/>
    </xf>
    <xf numFmtId="0" fontId="75" fillId="0" borderId="13" xfId="3032" applyFont="1" applyBorder="1" applyAlignment="1">
      <alignment horizontal="left" vertical="distributed" wrapText="1"/>
    </xf>
    <xf numFmtId="49" fontId="90" fillId="0" borderId="33" xfId="283" applyNumberFormat="1" applyFont="1" applyBorder="1" applyAlignment="1">
      <alignment horizontal="center" vertical="center" wrapText="1"/>
    </xf>
    <xf numFmtId="43" fontId="65" fillId="28" borderId="0" xfId="439" applyNumberFormat="1" applyFont="1" applyFill="1"/>
    <xf numFmtId="10" fontId="65" fillId="28" borderId="0" xfId="5871" applyNumberFormat="1" applyFont="1" applyFill="1"/>
    <xf numFmtId="10" fontId="4" fillId="28" borderId="0" xfId="5871" applyNumberFormat="1" applyFont="1" applyFill="1"/>
    <xf numFmtId="0" fontId="105" fillId="0" borderId="93" xfId="0" applyFont="1" applyBorder="1" applyAlignment="1">
      <alignment vertical="center"/>
    </xf>
    <xf numFmtId="0" fontId="105" fillId="0" borderId="9" xfId="0" applyFont="1" applyBorder="1" applyAlignment="1">
      <alignment vertical="center"/>
    </xf>
    <xf numFmtId="0" fontId="105" fillId="28" borderId="106" xfId="0" applyFont="1" applyFill="1" applyBorder="1" applyAlignment="1">
      <alignment horizontal="left" vertical="center"/>
    </xf>
    <xf numFmtId="0" fontId="105" fillId="28" borderId="105" xfId="0" applyFont="1" applyFill="1" applyBorder="1" applyAlignment="1">
      <alignment horizontal="left" vertical="center"/>
    </xf>
    <xf numFmtId="0" fontId="26" fillId="0" borderId="109" xfId="0" applyFont="1" applyBorder="1" applyAlignment="1">
      <alignment vertical="center"/>
    </xf>
    <xf numFmtId="0" fontId="26" fillId="0" borderId="110" xfId="0" applyFont="1" applyBorder="1" applyAlignment="1">
      <alignment vertical="center"/>
    </xf>
    <xf numFmtId="0" fontId="26" fillId="0" borderId="106" xfId="0" applyFont="1" applyBorder="1" applyAlignment="1">
      <alignment vertical="center"/>
    </xf>
    <xf numFmtId="0" fontId="26" fillId="0" borderId="105" xfId="0" applyFont="1" applyBorder="1" applyAlignment="1">
      <alignment vertical="center"/>
    </xf>
    <xf numFmtId="0" fontId="26" fillId="0" borderId="93" xfId="0" applyFont="1" applyBorder="1" applyAlignment="1">
      <alignment vertical="center"/>
    </xf>
    <xf numFmtId="0" fontId="26" fillId="0" borderId="94" xfId="0" applyFont="1" applyBorder="1" applyAlignment="1">
      <alignment vertical="center"/>
    </xf>
    <xf numFmtId="0" fontId="105" fillId="0" borderId="10" xfId="0" applyFont="1" applyBorder="1" applyAlignment="1">
      <alignment vertical="center"/>
    </xf>
    <xf numFmtId="4" fontId="64" fillId="0" borderId="0" xfId="0" applyNumberFormat="1" applyFont="1" applyAlignment="1">
      <alignment horizontal="left" vertical="center"/>
    </xf>
    <xf numFmtId="14" fontId="4" fillId="0" borderId="0" xfId="3032" applyNumberFormat="1"/>
    <xf numFmtId="49" fontId="75" fillId="0" borderId="45" xfId="283" applyNumberFormat="1" applyFont="1" applyBorder="1" applyAlignment="1">
      <alignment horizontal="center" vertical="center" wrapText="1"/>
    </xf>
    <xf numFmtId="1" fontId="75" fillId="0" borderId="45" xfId="3032" applyNumberFormat="1" applyFont="1" applyBorder="1" applyAlignment="1">
      <alignment horizontal="left" vertical="center" wrapText="1"/>
    </xf>
    <xf numFmtId="2" fontId="75" fillId="0" borderId="47" xfId="3032" applyNumberFormat="1" applyFont="1" applyBorder="1" applyAlignment="1">
      <alignment horizontal="center" vertical="center" wrapText="1"/>
    </xf>
    <xf numFmtId="171" fontId="75" fillId="0" borderId="47" xfId="3032" applyNumberFormat="1" applyFont="1" applyBorder="1" applyAlignment="1">
      <alignment horizontal="center" vertical="center" wrapText="1"/>
    </xf>
    <xf numFmtId="174" fontId="75" fillId="0" borderId="46" xfId="1" applyNumberFormat="1" applyFont="1" applyFill="1" applyBorder="1" applyAlignment="1">
      <alignment horizontal="center" vertical="distributed" wrapText="1"/>
    </xf>
    <xf numFmtId="174" fontId="75" fillId="0" borderId="46" xfId="1" applyNumberFormat="1" applyFont="1" applyFill="1" applyBorder="1" applyAlignment="1">
      <alignment horizontal="right" vertical="distributed" wrapText="1"/>
    </xf>
    <xf numFmtId="2" fontId="75" fillId="0" borderId="28" xfId="3032" applyNumberFormat="1" applyFont="1" applyBorder="1" applyAlignment="1">
      <alignment horizontal="center" vertical="center" wrapText="1"/>
    </xf>
    <xf numFmtId="2" fontId="75" fillId="0" borderId="28" xfId="3032" applyNumberFormat="1" applyFont="1" applyBorder="1" applyAlignment="1">
      <alignment horizontal="center" vertical="distributed" wrapText="1"/>
    </xf>
    <xf numFmtId="2" fontId="75" fillId="0" borderId="46" xfId="3032" applyNumberFormat="1" applyFont="1" applyBorder="1" applyAlignment="1">
      <alignment horizontal="center" vertical="distributed" wrapText="1"/>
    </xf>
    <xf numFmtId="171" fontId="75" fillId="0" borderId="28" xfId="3032" applyNumberFormat="1" applyFont="1" applyBorder="1" applyAlignment="1">
      <alignment horizontal="center" vertical="center" wrapText="1"/>
    </xf>
    <xf numFmtId="2" fontId="75" fillId="0" borderId="35" xfId="3032" applyNumberFormat="1" applyFont="1" applyBorder="1" applyAlignment="1">
      <alignment horizontal="center" vertical="distributed" wrapText="1"/>
    </xf>
    <xf numFmtId="2" fontId="75" fillId="0" borderId="32" xfId="3032" applyNumberFormat="1" applyFont="1" applyBorder="1" applyAlignment="1">
      <alignment horizontal="center" vertical="distributed" wrapText="1"/>
    </xf>
    <xf numFmtId="171" fontId="75" fillId="0" borderId="35" xfId="3032" applyNumberFormat="1" applyFont="1" applyBorder="1" applyAlignment="1">
      <alignment horizontal="center" vertical="center" wrapText="1"/>
    </xf>
    <xf numFmtId="4" fontId="82" fillId="28" borderId="0" xfId="3032" applyNumberFormat="1" applyFont="1" applyFill="1" applyAlignment="1">
      <alignment horizontal="center" vertical="center"/>
    </xf>
    <xf numFmtId="202" fontId="3" fillId="0" borderId="104" xfId="0" applyNumberFormat="1" applyFont="1" applyBorder="1" applyAlignment="1">
      <alignment vertical="center"/>
    </xf>
    <xf numFmtId="202" fontId="3" fillId="0" borderId="106" xfId="0" applyNumberFormat="1" applyFont="1" applyBorder="1" applyAlignment="1">
      <alignment vertical="center"/>
    </xf>
    <xf numFmtId="0" fontId="3" fillId="0" borderId="106" xfId="0" applyFont="1" applyBorder="1" applyAlignment="1">
      <alignment vertical="center"/>
    </xf>
    <xf numFmtId="202" fontId="74" fillId="0" borderId="106" xfId="0" applyNumberFormat="1" applyFont="1" applyBorder="1" applyAlignment="1">
      <alignment vertical="center"/>
    </xf>
    <xf numFmtId="202" fontId="74" fillId="0" borderId="105" xfId="0" applyNumberFormat="1" applyFont="1" applyBorder="1" applyAlignment="1">
      <alignment vertical="center"/>
    </xf>
    <xf numFmtId="189" fontId="3" fillId="28" borderId="104" xfId="0" applyNumberFormat="1" applyFont="1" applyFill="1" applyBorder="1" applyAlignment="1">
      <alignment horizontal="left" vertical="center"/>
    </xf>
    <xf numFmtId="189" fontId="3" fillId="28" borderId="106" xfId="0" applyNumberFormat="1" applyFont="1" applyFill="1" applyBorder="1" applyAlignment="1">
      <alignment horizontal="left" vertical="center"/>
    </xf>
    <xf numFmtId="0" fontId="53" fillId="0" borderId="108" xfId="0" applyFont="1" applyBorder="1" applyAlignment="1">
      <alignment horizontal="left" vertical="center"/>
    </xf>
    <xf numFmtId="0" fontId="53" fillId="0" borderId="109" xfId="0" applyFont="1" applyBorder="1" applyAlignment="1">
      <alignment horizontal="left" vertical="center"/>
    </xf>
    <xf numFmtId="0" fontId="53" fillId="0" borderId="110" xfId="0" applyFont="1" applyBorder="1" applyAlignment="1">
      <alignment horizontal="left" vertical="center"/>
    </xf>
    <xf numFmtId="0" fontId="53" fillId="0" borderId="8" xfId="0" applyFont="1" applyBorder="1" applyAlignment="1">
      <alignment horizontal="left" vertical="center"/>
    </xf>
    <xf numFmtId="0" fontId="53" fillId="0" borderId="9" xfId="0" applyFont="1" applyBorder="1" applyAlignment="1">
      <alignment horizontal="left" vertical="center"/>
    </xf>
    <xf numFmtId="0" fontId="53" fillId="0" borderId="10" xfId="0" applyFont="1" applyBorder="1" applyAlignment="1">
      <alignment horizontal="left" vertical="center"/>
    </xf>
    <xf numFmtId="14" fontId="90" fillId="0" borderId="108" xfId="0" applyNumberFormat="1" applyFont="1" applyBorder="1" applyAlignment="1">
      <alignment horizontal="left" vertical="center"/>
    </xf>
    <xf numFmtId="14" fontId="90" fillId="0" borderId="109" xfId="0" applyNumberFormat="1" applyFont="1" applyBorder="1" applyAlignment="1">
      <alignment horizontal="left" vertical="center"/>
    </xf>
    <xf numFmtId="14" fontId="90" fillId="0" borderId="8" xfId="0" applyNumberFormat="1" applyFont="1" applyBorder="1" applyAlignment="1">
      <alignment horizontal="left" vertical="center"/>
    </xf>
    <xf numFmtId="14" fontId="90" fillId="0" borderId="9" xfId="0" applyNumberFormat="1" applyFont="1" applyBorder="1" applyAlignment="1">
      <alignment horizontal="left" vertical="center"/>
    </xf>
    <xf numFmtId="188" fontId="150" fillId="0" borderId="102" xfId="160" applyNumberFormat="1" applyFont="1" applyBorder="1" applyAlignment="1">
      <alignment horizontal="left" vertical="center" wrapText="1"/>
    </xf>
    <xf numFmtId="2" fontId="90" fillId="0" borderId="96" xfId="1" applyNumberFormat="1" applyFont="1" applyBorder="1" applyAlignment="1">
      <alignment horizontal="center" vertical="center"/>
    </xf>
    <xf numFmtId="2" fontId="90" fillId="0" borderId="104" xfId="1" applyNumberFormat="1" applyFont="1" applyBorder="1" applyAlignment="1">
      <alignment horizontal="center" vertical="center"/>
    </xf>
    <xf numFmtId="43" fontId="28" fillId="29" borderId="96" xfId="1" applyFont="1" applyFill="1" applyBorder="1" applyAlignment="1">
      <alignment horizontal="center" vertical="center"/>
    </xf>
    <xf numFmtId="43" fontId="28" fillId="29" borderId="104" xfId="1" applyFont="1" applyFill="1" applyBorder="1" applyAlignment="1">
      <alignment horizontal="center" vertical="center"/>
    </xf>
    <xf numFmtId="165" fontId="90" fillId="0" borderId="104" xfId="0" applyNumberFormat="1" applyFont="1" applyBorder="1" applyAlignment="1">
      <alignment horizontal="center" vertical="center"/>
    </xf>
    <xf numFmtId="165" fontId="90" fillId="0" borderId="105" xfId="0" applyNumberFormat="1" applyFont="1" applyBorder="1" applyAlignment="1">
      <alignment horizontal="center" vertical="center"/>
    </xf>
    <xf numFmtId="0" fontId="90" fillId="0" borderId="96" xfId="0" applyFont="1" applyBorder="1" applyAlignment="1">
      <alignment horizontal="center" vertical="center"/>
    </xf>
    <xf numFmtId="165" fontId="75" fillId="0" borderId="96" xfId="0" applyNumberFormat="1" applyFont="1" applyBorder="1" applyAlignment="1">
      <alignment horizontal="center" vertical="center"/>
    </xf>
    <xf numFmtId="2" fontId="74" fillId="0" borderId="96" xfId="1" applyNumberFormat="1" applyFont="1" applyBorder="1" applyAlignment="1">
      <alignment horizontal="center" vertical="center"/>
    </xf>
    <xf numFmtId="2" fontId="90" fillId="0" borderId="106" xfId="1" applyNumberFormat="1" applyFont="1" applyBorder="1" applyAlignment="1">
      <alignment horizontal="center" vertical="center"/>
    </xf>
    <xf numFmtId="0" fontId="53" fillId="29" borderId="105" xfId="0" applyFont="1" applyFill="1" applyBorder="1" applyAlignment="1">
      <alignment horizontal="center" vertical="center"/>
    </xf>
    <xf numFmtId="0" fontId="53" fillId="29" borderId="96" xfId="0" applyFont="1" applyFill="1" applyBorder="1" applyAlignment="1">
      <alignment horizontal="center" vertical="center"/>
    </xf>
    <xf numFmtId="0" fontId="53" fillId="29" borderId="104" xfId="0" applyFont="1" applyFill="1" applyBorder="1" applyAlignment="1">
      <alignment horizontal="center" vertical="center"/>
    </xf>
    <xf numFmtId="165" fontId="90" fillId="0" borderId="96" xfId="0" applyNumberFormat="1" applyFont="1" applyBorder="1" applyAlignment="1">
      <alignment horizontal="center" vertical="center"/>
    </xf>
    <xf numFmtId="0" fontId="90" fillId="0" borderId="96" xfId="0" applyFont="1" applyBorder="1" applyAlignment="1">
      <alignment horizontal="left" vertical="center"/>
    </xf>
    <xf numFmtId="0" fontId="26" fillId="0" borderId="108" xfId="160" applyFont="1" applyBorder="1" applyAlignment="1" applyProtection="1">
      <alignment horizontal="center" vertical="center" wrapText="1"/>
      <protection locked="0"/>
    </xf>
    <xf numFmtId="0" fontId="26" fillId="0" borderId="109" xfId="160" applyFont="1" applyBorder="1" applyAlignment="1" applyProtection="1">
      <alignment horizontal="center" vertical="center" wrapText="1"/>
      <protection locked="0"/>
    </xf>
    <xf numFmtId="0" fontId="26" fillId="0" borderId="110" xfId="160" applyFont="1" applyBorder="1" applyAlignment="1" applyProtection="1">
      <alignment horizontal="center" vertical="center" wrapText="1"/>
      <protection locked="0"/>
    </xf>
    <xf numFmtId="0" fontId="26" fillId="0" borderId="121" xfId="160" applyFont="1" applyBorder="1" applyAlignment="1" applyProtection="1">
      <alignment horizontal="center" vertical="center" wrapText="1"/>
      <protection locked="0"/>
    </xf>
    <xf numFmtId="0" fontId="26" fillId="0" borderId="0" xfId="160" applyFont="1" applyAlignment="1" applyProtection="1">
      <alignment horizontal="center" vertical="center" wrapText="1"/>
      <protection locked="0"/>
    </xf>
    <xf numFmtId="0" fontId="26" fillId="0" borderId="122" xfId="160" applyFont="1" applyBorder="1" applyAlignment="1" applyProtection="1">
      <alignment horizontal="center" vertical="center" wrapText="1"/>
      <protection locked="0"/>
    </xf>
    <xf numFmtId="0" fontId="26" fillId="0" borderId="95" xfId="160" applyFont="1" applyBorder="1" applyAlignment="1" applyProtection="1">
      <alignment horizontal="center" vertical="center" wrapText="1"/>
      <protection locked="0"/>
    </xf>
    <xf numFmtId="0" fontId="26" fillId="0" borderId="93" xfId="160" applyFont="1" applyBorder="1" applyAlignment="1" applyProtection="1">
      <alignment horizontal="center" vertical="center" wrapText="1"/>
      <protection locked="0"/>
    </xf>
    <xf numFmtId="0" fontId="26" fillId="0" borderId="94" xfId="160" applyFont="1" applyBorder="1" applyAlignment="1" applyProtection="1">
      <alignment horizontal="center" vertical="center" wrapText="1"/>
      <protection locked="0"/>
    </xf>
    <xf numFmtId="188" fontId="114" fillId="0" borderId="102" xfId="160" applyNumberFormat="1" applyFont="1" applyBorder="1" applyAlignment="1">
      <alignment horizontal="left" vertical="center" wrapText="1"/>
    </xf>
    <xf numFmtId="0" fontId="90" fillId="0" borderId="108" xfId="0"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8" xfId="0" applyFont="1" applyBorder="1" applyAlignment="1">
      <alignment horizontal="center" vertical="center" wrapText="1"/>
    </xf>
    <xf numFmtId="0" fontId="90" fillId="0" borderId="93" xfId="0" applyFont="1" applyBorder="1" applyAlignment="1">
      <alignment horizontal="center" vertical="center" wrapText="1"/>
    </xf>
    <xf numFmtId="0" fontId="90" fillId="0" borderId="10" xfId="0" applyFont="1" applyBorder="1" applyAlignment="1">
      <alignment horizontal="center" vertical="center" wrapText="1"/>
    </xf>
    <xf numFmtId="0" fontId="47" fillId="30" borderId="107" xfId="316" applyFont="1" applyFill="1" applyBorder="1" applyAlignment="1" applyProtection="1">
      <alignment horizontal="center"/>
      <protection locked="0"/>
    </xf>
    <xf numFmtId="0" fontId="47" fillId="30" borderId="13" xfId="316" applyFont="1" applyFill="1" applyBorder="1" applyAlignment="1" applyProtection="1">
      <alignment horizontal="center"/>
      <protection locked="0"/>
    </xf>
    <xf numFmtId="0" fontId="3" fillId="0" borderId="121" xfId="316" applyFont="1" applyBorder="1" applyAlignment="1">
      <alignment horizontal="center" vertical="center"/>
    </xf>
    <xf numFmtId="0" fontId="3" fillId="0" borderId="122" xfId="316" applyFont="1" applyBorder="1" applyAlignment="1">
      <alignment horizontal="center" vertical="center"/>
    </xf>
    <xf numFmtId="0" fontId="3" fillId="0" borderId="95" xfId="316" applyFont="1" applyBorder="1" applyAlignment="1">
      <alignment horizontal="center" vertical="center"/>
    </xf>
    <xf numFmtId="0" fontId="3" fillId="0" borderId="94" xfId="316" applyFont="1" applyBorder="1" applyAlignment="1">
      <alignment horizontal="center" vertical="center"/>
    </xf>
    <xf numFmtId="0" fontId="47" fillId="30" borderId="92" xfId="316" applyFont="1" applyFill="1" applyBorder="1" applyAlignment="1" applyProtection="1">
      <alignment horizontal="center"/>
      <protection locked="0"/>
    </xf>
    <xf numFmtId="2" fontId="90" fillId="0" borderId="96" xfId="0" applyNumberFormat="1" applyFont="1" applyBorder="1" applyAlignment="1">
      <alignment horizontal="center" vertical="center"/>
    </xf>
    <xf numFmtId="2" fontId="90" fillId="0" borderId="104" xfId="0" applyNumberFormat="1" applyFont="1" applyBorder="1" applyAlignment="1">
      <alignment horizontal="center" vertical="center"/>
    </xf>
    <xf numFmtId="0" fontId="90" fillId="28" borderId="96" xfId="0" applyFont="1" applyFill="1" applyBorder="1" applyAlignment="1">
      <alignment horizontal="left" vertical="center"/>
    </xf>
    <xf numFmtId="0" fontId="90" fillId="0" borderId="93" xfId="0" applyFont="1" applyBorder="1" applyAlignment="1">
      <alignment horizontal="left" vertical="center" wrapText="1"/>
    </xf>
    <xf numFmtId="0" fontId="90" fillId="0" borderId="10" xfId="0" applyFont="1" applyBorder="1" applyAlignment="1">
      <alignment horizontal="left" vertical="center" wrapText="1"/>
    </xf>
    <xf numFmtId="0" fontId="53" fillId="0" borderId="93" xfId="0" applyFont="1" applyBorder="1" applyAlignment="1">
      <alignment horizontal="left" vertical="center"/>
    </xf>
    <xf numFmtId="49" fontId="90" fillId="0" borderId="93" xfId="0" applyNumberFormat="1" applyFont="1" applyBorder="1" applyAlignment="1">
      <alignment horizontal="left" vertical="center"/>
    </xf>
    <xf numFmtId="2" fontId="90" fillId="28" borderId="96" xfId="0" applyNumberFormat="1" applyFont="1" applyFill="1" applyBorder="1" applyAlignment="1">
      <alignment horizontal="center" vertical="center"/>
    </xf>
    <xf numFmtId="165" fontId="90" fillId="0" borderId="106" xfId="0" applyNumberFormat="1" applyFont="1" applyBorder="1" applyAlignment="1">
      <alignment horizontal="center" vertical="center"/>
    </xf>
    <xf numFmtId="0" fontId="104" fillId="0" borderId="104" xfId="0" applyFont="1" applyBorder="1" applyAlignment="1">
      <alignment horizontal="center" vertical="center"/>
    </xf>
    <xf numFmtId="0" fontId="104" fillId="0" borderId="106" xfId="0" applyFont="1" applyBorder="1" applyAlignment="1">
      <alignment horizontal="center" vertical="center"/>
    </xf>
    <xf numFmtId="0" fontId="104" fillId="0" borderId="105" xfId="0" applyFont="1" applyBorder="1" applyAlignment="1">
      <alignment horizontal="center" vertical="center"/>
    </xf>
    <xf numFmtId="0" fontId="53" fillId="25" borderId="105" xfId="0" applyFont="1" applyFill="1" applyBorder="1" applyAlignment="1">
      <alignment horizontal="center" vertical="center"/>
    </xf>
    <xf numFmtId="0" fontId="53" fillId="25" borderId="96" xfId="0" applyFont="1" applyFill="1" applyBorder="1" applyAlignment="1">
      <alignment horizontal="center" vertical="center"/>
    </xf>
    <xf numFmtId="0" fontId="53" fillId="25" borderId="104" xfId="0" applyFont="1" applyFill="1" applyBorder="1" applyAlignment="1">
      <alignment horizontal="center" vertical="center"/>
    </xf>
    <xf numFmtId="2" fontId="75" fillId="0" borderId="96" xfId="0" applyNumberFormat="1" applyFont="1" applyBorder="1" applyAlignment="1">
      <alignment horizontal="center" vertical="center"/>
    </xf>
    <xf numFmtId="14" fontId="3" fillId="32" borderId="104" xfId="0" applyNumberFormat="1" applyFont="1" applyFill="1" applyBorder="1" applyAlignment="1">
      <alignment horizontal="left" vertical="center"/>
    </xf>
    <xf numFmtId="14" fontId="3" fillId="32" borderId="106" xfId="0" applyNumberFormat="1" applyFont="1" applyFill="1" applyBorder="1" applyAlignment="1">
      <alignment horizontal="left" vertical="center"/>
    </xf>
    <xf numFmtId="0" fontId="90" fillId="28" borderId="104" xfId="0" applyFont="1" applyFill="1" applyBorder="1" applyAlignment="1">
      <alignment horizontal="left" vertical="center"/>
    </xf>
    <xf numFmtId="0" fontId="90" fillId="28" borderId="106" xfId="0" applyFont="1" applyFill="1" applyBorder="1" applyAlignment="1">
      <alignment horizontal="left" vertical="center"/>
    </xf>
    <xf numFmtId="0" fontId="90" fillId="28" borderId="105" xfId="0" applyFont="1" applyFill="1" applyBorder="1" applyAlignment="1">
      <alignment horizontal="left" vertical="center"/>
    </xf>
    <xf numFmtId="0" fontId="104" fillId="0" borderId="96" xfId="0" applyFont="1" applyBorder="1" applyAlignment="1">
      <alignment horizontal="center" vertical="center"/>
    </xf>
    <xf numFmtId="2" fontId="75" fillId="0" borderId="104" xfId="0" applyNumberFormat="1" applyFont="1" applyBorder="1" applyAlignment="1">
      <alignment horizontal="center" vertical="center"/>
    </xf>
    <xf numFmtId="2" fontId="75" fillId="0" borderId="106" xfId="0" applyNumberFormat="1" applyFont="1" applyBorder="1" applyAlignment="1">
      <alignment horizontal="center" vertical="center"/>
    </xf>
    <xf numFmtId="2" fontId="75" fillId="0" borderId="105" xfId="0" applyNumberFormat="1" applyFont="1" applyBorder="1" applyAlignment="1">
      <alignment horizontal="center" vertical="center"/>
    </xf>
    <xf numFmtId="0" fontId="90" fillId="0" borderId="104" xfId="0" applyFont="1" applyBorder="1" applyAlignment="1">
      <alignment horizontal="left" vertical="center"/>
    </xf>
    <xf numFmtId="0" fontId="90" fillId="0" borderId="106" xfId="0" applyFont="1" applyBorder="1" applyAlignment="1">
      <alignment horizontal="left" vertical="center"/>
    </xf>
    <xf numFmtId="0" fontId="90" fillId="0" borderId="105" xfId="0" applyFont="1" applyBorder="1" applyAlignment="1">
      <alignment horizontal="left" vertical="center"/>
    </xf>
    <xf numFmtId="8" fontId="90" fillId="0" borderId="109" xfId="0" applyNumberFormat="1" applyFont="1" applyBorder="1" applyAlignment="1">
      <alignment horizontal="left" vertical="center"/>
    </xf>
    <xf numFmtId="8" fontId="90" fillId="0" borderId="110" xfId="0" applyNumberFormat="1" applyFont="1" applyBorder="1" applyAlignment="1">
      <alignment horizontal="left" vertical="center"/>
    </xf>
    <xf numFmtId="8" fontId="90" fillId="0" borderId="0" xfId="0" applyNumberFormat="1" applyFont="1" applyAlignment="1">
      <alignment horizontal="left" vertical="center"/>
    </xf>
    <xf numFmtId="8" fontId="90" fillId="0" borderId="122" xfId="0" applyNumberFormat="1" applyFont="1" applyBorder="1" applyAlignment="1">
      <alignment horizontal="left" vertical="center"/>
    </xf>
    <xf numFmtId="0" fontId="47" fillId="0" borderId="109" xfId="160" applyFont="1" applyBorder="1" applyAlignment="1" applyProtection="1">
      <alignment horizontal="center" vertical="center" wrapText="1"/>
      <protection locked="0"/>
    </xf>
    <xf numFmtId="0" fontId="47" fillId="0" borderId="109" xfId="160" applyFont="1" applyBorder="1" applyAlignment="1" applyProtection="1">
      <alignment horizontal="center" vertical="center"/>
      <protection locked="0"/>
    </xf>
    <xf numFmtId="0" fontId="47" fillId="0" borderId="110" xfId="160" applyFont="1" applyBorder="1" applyAlignment="1" applyProtection="1">
      <alignment horizontal="center" vertical="center"/>
      <protection locked="0"/>
    </xf>
    <xf numFmtId="0" fontId="47" fillId="0" borderId="0" xfId="160" applyFont="1" applyAlignment="1" applyProtection="1">
      <alignment horizontal="center" vertical="center"/>
      <protection locked="0"/>
    </xf>
    <xf numFmtId="0" fontId="47" fillId="0" borderId="122" xfId="160" applyFont="1" applyBorder="1" applyAlignment="1" applyProtection="1">
      <alignment horizontal="center" vertical="center"/>
      <protection locked="0"/>
    </xf>
    <xf numFmtId="0" fontId="47" fillId="0" borderId="93" xfId="160" applyFont="1" applyBorder="1" applyAlignment="1" applyProtection="1">
      <alignment horizontal="center" vertical="center"/>
      <protection locked="0"/>
    </xf>
    <xf numFmtId="0" fontId="47" fillId="0" borderId="94" xfId="160" applyFont="1" applyBorder="1" applyAlignment="1" applyProtection="1">
      <alignment horizontal="center" vertical="center"/>
      <protection locked="0"/>
    </xf>
    <xf numFmtId="0" fontId="47" fillId="0" borderId="108" xfId="160" applyFont="1" applyBorder="1" applyAlignment="1" applyProtection="1">
      <alignment horizontal="center" vertical="center" wrapText="1"/>
      <protection locked="0"/>
    </xf>
    <xf numFmtId="0" fontId="47" fillId="0" borderId="121" xfId="160" applyFont="1" applyBorder="1" applyAlignment="1" applyProtection="1">
      <alignment horizontal="center" vertical="center"/>
      <protection locked="0"/>
    </xf>
    <xf numFmtId="0" fontId="47" fillId="0" borderId="95" xfId="160" applyFont="1" applyBorder="1" applyAlignment="1" applyProtection="1">
      <alignment horizontal="center" vertical="center"/>
      <protection locked="0"/>
    </xf>
    <xf numFmtId="0" fontId="26" fillId="0" borderId="108" xfId="283" applyFont="1" applyBorder="1" applyAlignment="1">
      <alignment horizontal="center" vertical="center" wrapText="1"/>
    </xf>
    <xf numFmtId="0" fontId="26" fillId="0" borderId="109" xfId="283" applyFont="1" applyBorder="1" applyAlignment="1">
      <alignment horizontal="center" vertical="center" wrapText="1"/>
    </xf>
    <xf numFmtId="0" fontId="26" fillId="0" borderId="110" xfId="283" applyFont="1" applyBorder="1" applyAlignment="1">
      <alignment horizontal="center" vertical="center" wrapText="1"/>
    </xf>
    <xf numFmtId="0" fontId="26" fillId="0" borderId="95" xfId="283" applyFont="1" applyBorder="1" applyAlignment="1">
      <alignment horizontal="center" vertical="center" wrapText="1"/>
    </xf>
    <xf numFmtId="0" fontId="26" fillId="0" borderId="93" xfId="283" applyFont="1" applyBorder="1" applyAlignment="1">
      <alignment horizontal="center" vertical="center" wrapText="1"/>
    </xf>
    <xf numFmtId="0" fontId="26" fillId="0" borderId="94" xfId="283" applyFont="1" applyBorder="1" applyAlignment="1">
      <alignment horizontal="center" vertical="center" wrapText="1"/>
    </xf>
    <xf numFmtId="0" fontId="28" fillId="25" borderId="109" xfId="160" applyFont="1" applyFill="1" applyBorder="1" applyAlignment="1" applyProtection="1">
      <alignment horizontal="center" vertical="center" wrapText="1"/>
      <protection locked="0"/>
    </xf>
    <xf numFmtId="0" fontId="28" fillId="25" borderId="93" xfId="160" applyFont="1" applyFill="1" applyBorder="1" applyAlignment="1" applyProtection="1">
      <alignment horizontal="center" vertical="center" wrapText="1"/>
      <protection locked="0"/>
    </xf>
    <xf numFmtId="0" fontId="28" fillId="25" borderId="108" xfId="160" applyFont="1" applyFill="1" applyBorder="1" applyAlignment="1" applyProtection="1">
      <alignment horizontal="center" vertical="center" wrapText="1"/>
      <protection locked="0"/>
    </xf>
    <xf numFmtId="0" fontId="28" fillId="25" borderId="110" xfId="160" applyFont="1" applyFill="1" applyBorder="1" applyAlignment="1" applyProtection="1">
      <alignment horizontal="center" vertical="center" wrapText="1"/>
      <protection locked="0"/>
    </xf>
    <xf numFmtId="0" fontId="28" fillId="25" borderId="95" xfId="160" applyFont="1" applyFill="1" applyBorder="1" applyAlignment="1" applyProtection="1">
      <alignment horizontal="center" vertical="center" wrapText="1"/>
      <protection locked="0"/>
    </xf>
    <xf numFmtId="0" fontId="28" fillId="25" borderId="94" xfId="160" applyFont="1" applyFill="1" applyBorder="1" applyAlignment="1" applyProtection="1">
      <alignment horizontal="center" vertical="center" wrapText="1"/>
      <protection locked="0"/>
    </xf>
    <xf numFmtId="188" fontId="153" fillId="0" borderId="102" xfId="160" applyNumberFormat="1" applyFont="1" applyBorder="1" applyAlignment="1">
      <alignment horizontal="left" vertical="center" wrapText="1"/>
    </xf>
    <xf numFmtId="165" fontId="115" fillId="0" borderId="102" xfId="160" quotePrefix="1" applyNumberFormat="1" applyFont="1" applyBorder="1" applyAlignment="1">
      <alignment horizontal="right" vertical="center"/>
    </xf>
    <xf numFmtId="0" fontId="115" fillId="0" borderId="102" xfId="160" quotePrefix="1" applyFont="1" applyBorder="1" applyAlignment="1">
      <alignment horizontal="right" vertical="center"/>
    </xf>
    <xf numFmtId="8" fontId="90" fillId="0" borderId="93" xfId="0" applyNumberFormat="1" applyFont="1" applyBorder="1" applyAlignment="1">
      <alignment horizontal="left" vertical="center" wrapText="1"/>
    </xf>
    <xf numFmtId="8" fontId="90" fillId="0" borderId="94" xfId="0" applyNumberFormat="1" applyFont="1" applyBorder="1" applyAlignment="1">
      <alignment horizontal="left" vertical="center" wrapText="1"/>
    </xf>
    <xf numFmtId="188" fontId="118" fillId="0" borderId="120" xfId="160" applyNumberFormat="1" applyFont="1" applyBorder="1" applyAlignment="1">
      <alignment horizontal="left" vertical="center" wrapText="1"/>
    </xf>
    <xf numFmtId="165" fontId="115" fillId="0" borderId="120" xfId="160" quotePrefix="1" applyNumberFormat="1" applyFont="1" applyBorder="1" applyAlignment="1">
      <alignment horizontal="right" vertical="center"/>
    </xf>
    <xf numFmtId="0" fontId="115" fillId="0" borderId="120" xfId="160" quotePrefix="1" applyFont="1" applyBorder="1" applyAlignment="1">
      <alignment horizontal="right" vertical="center"/>
    </xf>
    <xf numFmtId="0" fontId="47" fillId="0" borderId="0" xfId="160" applyFont="1" applyAlignment="1" applyProtection="1">
      <alignment horizontal="center" vertical="center" wrapText="1"/>
      <protection locked="0"/>
    </xf>
    <xf numFmtId="0" fontId="26" fillId="0" borderId="0" xfId="283" applyFont="1" applyAlignment="1">
      <alignment horizontal="center" vertical="center" wrapText="1"/>
    </xf>
    <xf numFmtId="0" fontId="117" fillId="0" borderId="101" xfId="0" applyFont="1" applyBorder="1" applyAlignment="1">
      <alignment horizontal="right" vertical="center"/>
    </xf>
    <xf numFmtId="2" fontId="90" fillId="0" borderId="105" xfId="1" applyNumberFormat="1" applyFont="1" applyBorder="1" applyAlignment="1">
      <alignment horizontal="center" vertical="center"/>
    </xf>
    <xf numFmtId="0" fontId="118" fillId="0" borderId="101" xfId="160" applyFont="1" applyBorder="1" applyAlignment="1">
      <alignment horizontal="left" vertical="center"/>
    </xf>
    <xf numFmtId="0" fontId="117" fillId="0" borderId="101" xfId="160" applyFont="1" applyBorder="1" applyAlignment="1">
      <alignment horizontal="right" vertical="center"/>
    </xf>
    <xf numFmtId="14" fontId="3" fillId="0" borderId="104" xfId="0" applyNumberFormat="1" applyFont="1" applyBorder="1" applyAlignment="1">
      <alignment horizontal="left" vertical="center"/>
    </xf>
    <xf numFmtId="14" fontId="3" fillId="0" borderId="106" xfId="0" applyNumberFormat="1" applyFont="1" applyBorder="1" applyAlignment="1">
      <alignment horizontal="left" vertical="center"/>
    </xf>
    <xf numFmtId="0" fontId="53" fillId="0" borderId="106" xfId="0" applyFont="1" applyBorder="1" applyAlignment="1">
      <alignment vertical="center"/>
    </xf>
    <xf numFmtId="0" fontId="53" fillId="0" borderId="105" xfId="0" applyFont="1" applyBorder="1" applyAlignment="1">
      <alignment vertical="center"/>
    </xf>
    <xf numFmtId="189" fontId="3" fillId="0" borderId="104" xfId="0" applyNumberFormat="1" applyFont="1" applyBorder="1" applyAlignment="1">
      <alignment horizontal="left" vertical="center"/>
    </xf>
    <xf numFmtId="189" fontId="3" fillId="0" borderId="106" xfId="0" applyNumberFormat="1" applyFont="1" applyBorder="1" applyAlignment="1">
      <alignment horizontal="left" vertical="center"/>
    </xf>
    <xf numFmtId="0" fontId="53" fillId="25" borderId="108" xfId="0" applyFont="1" applyFill="1" applyBorder="1" applyAlignment="1">
      <alignment horizontal="center" vertical="center"/>
    </xf>
    <xf numFmtId="0" fontId="53" fillId="25" borderId="109" xfId="0" applyFont="1" applyFill="1" applyBorder="1" applyAlignment="1">
      <alignment horizontal="center" vertical="center"/>
    </xf>
    <xf numFmtId="0" fontId="53" fillId="25" borderId="110" xfId="0" applyFont="1" applyFill="1" applyBorder="1" applyAlignment="1">
      <alignment horizontal="center" vertical="center"/>
    </xf>
    <xf numFmtId="0" fontId="53" fillId="25" borderId="95" xfId="0" applyFont="1" applyFill="1" applyBorder="1" applyAlignment="1">
      <alignment horizontal="center" vertical="center"/>
    </xf>
    <xf numFmtId="0" fontId="53" fillId="25" borderId="93" xfId="0" applyFont="1" applyFill="1" applyBorder="1" applyAlignment="1">
      <alignment horizontal="center" vertical="center"/>
    </xf>
    <xf numFmtId="0" fontId="53" fillId="25" borderId="94" xfId="0" applyFont="1" applyFill="1" applyBorder="1" applyAlignment="1">
      <alignment horizontal="center" vertical="center"/>
    </xf>
    <xf numFmtId="201" fontId="26" fillId="0" borderId="106" xfId="0" applyNumberFormat="1" applyFont="1" applyBorder="1" applyAlignment="1">
      <alignment vertical="center"/>
    </xf>
    <xf numFmtId="201" fontId="26" fillId="0" borderId="105" xfId="0" applyNumberFormat="1" applyFont="1" applyBorder="1" applyAlignment="1">
      <alignment vertical="center"/>
    </xf>
    <xf numFmtId="0" fontId="53" fillId="0" borderId="106" xfId="0" applyFont="1" applyBorder="1" applyAlignment="1">
      <alignment horizontal="left" vertical="center"/>
    </xf>
    <xf numFmtId="0" fontId="53" fillId="0" borderId="105" xfId="0" applyFont="1" applyBorder="1" applyAlignment="1">
      <alignment horizontal="left" vertical="center"/>
    </xf>
    <xf numFmtId="199" fontId="26" fillId="0" borderId="106" xfId="0" applyNumberFormat="1" applyFont="1" applyBorder="1" applyAlignment="1">
      <alignment vertical="center"/>
    </xf>
    <xf numFmtId="199" fontId="26" fillId="0" borderId="105" xfId="0" applyNumberFormat="1" applyFont="1" applyBorder="1" applyAlignment="1">
      <alignment vertical="center"/>
    </xf>
    <xf numFmtId="200" fontId="26" fillId="0" borderId="106" xfId="0" applyNumberFormat="1" applyFont="1" applyBorder="1" applyAlignment="1">
      <alignment vertical="center"/>
    </xf>
    <xf numFmtId="200" fontId="26" fillId="0" borderId="105" xfId="0" applyNumberFormat="1" applyFont="1" applyBorder="1" applyAlignment="1">
      <alignment vertical="center"/>
    </xf>
    <xf numFmtId="0" fontId="85" fillId="25" borderId="96" xfId="0" applyFont="1" applyFill="1" applyBorder="1" applyAlignment="1">
      <alignment horizontal="center" vertical="center"/>
    </xf>
    <xf numFmtId="0" fontId="59" fillId="25" borderId="96" xfId="0" applyFont="1" applyFill="1" applyBorder="1" applyAlignment="1">
      <alignment horizontal="center" vertical="center"/>
    </xf>
    <xf numFmtId="0" fontId="54" fillId="25" borderId="96" xfId="0" applyFont="1" applyFill="1" applyBorder="1" applyAlignment="1">
      <alignment horizontal="center" vertical="center"/>
    </xf>
    <xf numFmtId="0" fontId="54" fillId="25" borderId="104" xfId="0" applyFont="1" applyFill="1" applyBorder="1" applyAlignment="1">
      <alignment horizontal="center" vertical="center"/>
    </xf>
    <xf numFmtId="1" fontId="3" fillId="0" borderId="104" xfId="0" applyNumberFormat="1" applyFont="1" applyBorder="1" applyAlignment="1">
      <alignment horizontal="left" vertical="center"/>
    </xf>
    <xf numFmtId="1" fontId="3" fillId="0" borderId="106" xfId="0" applyNumberFormat="1" applyFont="1" applyBorder="1" applyAlignment="1">
      <alignment horizontal="left" vertical="center"/>
    </xf>
    <xf numFmtId="198" fontId="26" fillId="0" borderId="106" xfId="0" applyNumberFormat="1" applyFont="1" applyBorder="1" applyAlignment="1">
      <alignment vertical="center"/>
    </xf>
    <xf numFmtId="198" fontId="26" fillId="0" borderId="105" xfId="0" applyNumberFormat="1" applyFont="1" applyBorder="1" applyAlignment="1">
      <alignment vertical="center"/>
    </xf>
    <xf numFmtId="0" fontId="90" fillId="0" borderId="101" xfId="0" applyFont="1" applyBorder="1" applyAlignment="1">
      <alignment horizontal="right" vertical="center"/>
    </xf>
    <xf numFmtId="0" fontId="90" fillId="0" borderId="103" xfId="0" applyFont="1" applyBorder="1" applyAlignment="1">
      <alignment horizontal="right" vertical="center"/>
    </xf>
    <xf numFmtId="14" fontId="90" fillId="0" borderId="96" xfId="0" applyNumberFormat="1" applyFont="1" applyBorder="1" applyAlignment="1">
      <alignment horizontal="left" vertical="center"/>
    </xf>
    <xf numFmtId="0" fontId="53" fillId="0" borderId="96" xfId="0" applyFont="1" applyBorder="1" applyAlignment="1">
      <alignment horizontal="left" vertical="center"/>
    </xf>
    <xf numFmtId="8" fontId="90" fillId="0" borderId="96" xfId="0" applyNumberFormat="1" applyFont="1" applyBorder="1" applyAlignment="1">
      <alignment horizontal="left" vertical="center"/>
    </xf>
    <xf numFmtId="49" fontId="3" fillId="0" borderId="104" xfId="0" applyNumberFormat="1" applyFont="1" applyBorder="1" applyAlignment="1">
      <alignment horizontal="left" vertical="center"/>
    </xf>
    <xf numFmtId="49" fontId="3" fillId="0" borderId="106" xfId="0" applyNumberFormat="1" applyFont="1" applyBorder="1" applyAlignment="1">
      <alignment horizontal="left" vertical="center"/>
    </xf>
    <xf numFmtId="49" fontId="3" fillId="0" borderId="105" xfId="0" applyNumberFormat="1" applyFont="1" applyBorder="1" applyAlignment="1">
      <alignment horizontal="left" vertical="center"/>
    </xf>
    <xf numFmtId="49" fontId="3" fillId="0" borderId="104" xfId="0" applyNumberFormat="1" applyFont="1" applyBorder="1" applyAlignment="1">
      <alignment horizontal="center" vertical="center"/>
    </xf>
    <xf numFmtId="49" fontId="3" fillId="0" borderId="106" xfId="0" applyNumberFormat="1" applyFont="1" applyBorder="1" applyAlignment="1">
      <alignment horizontal="center" vertical="center"/>
    </xf>
    <xf numFmtId="49" fontId="3" fillId="0" borderId="105" xfId="0" applyNumberFormat="1" applyFont="1" applyBorder="1" applyAlignment="1">
      <alignment horizontal="center" vertical="center"/>
    </xf>
    <xf numFmtId="0" fontId="92" fillId="25" borderId="109" xfId="0" applyFont="1" applyFill="1" applyBorder="1" applyAlignment="1">
      <alignment horizontal="center" vertical="center"/>
    </xf>
    <xf numFmtId="0" fontId="92" fillId="25" borderId="93" xfId="0" applyFont="1" applyFill="1" applyBorder="1" applyAlignment="1">
      <alignment horizontal="center" vertical="center"/>
    </xf>
    <xf numFmtId="0" fontId="105" fillId="0" borderId="105" xfId="0" applyFont="1" applyBorder="1" applyAlignment="1">
      <alignment horizontal="left" vertical="center"/>
    </xf>
    <xf numFmtId="0" fontId="105" fillId="0" borderId="96" xfId="0" applyFont="1" applyBorder="1" applyAlignment="1">
      <alignment horizontal="left" vertical="center"/>
    </xf>
    <xf numFmtId="0" fontId="53" fillId="0" borderId="104" xfId="0" applyFont="1" applyBorder="1" applyAlignment="1">
      <alignment horizontal="left" vertical="center"/>
    </xf>
    <xf numFmtId="14" fontId="90" fillId="0" borderId="104" xfId="0" applyNumberFormat="1" applyFont="1" applyBorder="1" applyAlignment="1">
      <alignment horizontal="left" vertical="center"/>
    </xf>
    <xf numFmtId="14" fontId="90" fillId="0" borderId="106" xfId="0" applyNumberFormat="1" applyFont="1" applyBorder="1" applyAlignment="1">
      <alignment horizontal="left" vertical="center"/>
    </xf>
    <xf numFmtId="49" fontId="3" fillId="0" borderId="96" xfId="0" applyNumberFormat="1" applyFont="1" applyBorder="1" applyAlignment="1">
      <alignment horizontal="left" vertical="center"/>
    </xf>
    <xf numFmtId="0" fontId="53" fillId="0" borderId="96" xfId="0" applyFont="1" applyBorder="1" applyAlignment="1">
      <alignment vertical="center"/>
    </xf>
    <xf numFmtId="0" fontId="53" fillId="28" borderId="96" xfId="0" applyFont="1" applyFill="1" applyBorder="1" applyAlignment="1">
      <alignment horizontal="left" vertical="center"/>
    </xf>
    <xf numFmtId="49" fontId="90" fillId="28" borderId="96" xfId="0" applyNumberFormat="1" applyFont="1" applyFill="1" applyBorder="1" applyAlignment="1">
      <alignment horizontal="left" vertical="center"/>
    </xf>
    <xf numFmtId="49" fontId="90" fillId="28" borderId="104" xfId="0" applyNumberFormat="1" applyFont="1" applyFill="1" applyBorder="1" applyAlignment="1">
      <alignment horizontal="left" vertical="center"/>
    </xf>
    <xf numFmtId="8" fontId="53" fillId="0" borderId="96" xfId="0" applyNumberFormat="1" applyFont="1" applyBorder="1" applyAlignment="1">
      <alignment horizontal="left" vertical="center"/>
    </xf>
    <xf numFmtId="49" fontId="90" fillId="0" borderId="96" xfId="0" applyNumberFormat="1" applyFont="1" applyBorder="1" applyAlignment="1">
      <alignment horizontal="left" vertical="center"/>
    </xf>
    <xf numFmtId="49" fontId="90" fillId="0" borderId="104" xfId="0" applyNumberFormat="1" applyFont="1" applyBorder="1" applyAlignment="1">
      <alignment horizontal="left" vertical="center"/>
    </xf>
    <xf numFmtId="8" fontId="53" fillId="0" borderId="104" xfId="0" applyNumberFormat="1" applyFont="1" applyBorder="1" applyAlignment="1">
      <alignment horizontal="left" vertical="center" wrapText="1"/>
    </xf>
    <xf numFmtId="8" fontId="53" fillId="0" borderId="106" xfId="0" applyNumberFormat="1" applyFont="1" applyBorder="1" applyAlignment="1">
      <alignment horizontal="left" vertical="center" wrapText="1"/>
    </xf>
    <xf numFmtId="8" fontId="53" fillId="0" borderId="105" xfId="0" applyNumberFormat="1" applyFont="1" applyBorder="1" applyAlignment="1">
      <alignment horizontal="left" vertical="center" wrapText="1"/>
    </xf>
    <xf numFmtId="0" fontId="120" fillId="25" borderId="105" xfId="0" applyFont="1" applyFill="1" applyBorder="1" applyAlignment="1">
      <alignment horizontal="center" vertical="center"/>
    </xf>
    <xf numFmtId="0" fontId="120" fillId="25" borderId="96" xfId="0" applyFont="1" applyFill="1" applyBorder="1" applyAlignment="1">
      <alignment horizontal="center" vertical="center"/>
    </xf>
    <xf numFmtId="0" fontId="120" fillId="25" borderId="104" xfId="0" applyFont="1" applyFill="1" applyBorder="1" applyAlignment="1">
      <alignment horizontal="center" vertical="center"/>
    </xf>
    <xf numFmtId="8" fontId="90" fillId="28" borderId="108" xfId="0" applyNumberFormat="1" applyFont="1" applyFill="1" applyBorder="1" applyAlignment="1">
      <alignment horizontal="left" vertical="center"/>
    </xf>
    <xf numFmtId="8" fontId="90" fillId="28" borderId="109" xfId="0" applyNumberFormat="1" applyFont="1" applyFill="1" applyBorder="1" applyAlignment="1">
      <alignment horizontal="left" vertical="center"/>
    </xf>
    <xf numFmtId="8" fontId="90" fillId="28" borderId="110" xfId="0" applyNumberFormat="1" applyFont="1" applyFill="1" applyBorder="1" applyAlignment="1">
      <alignment horizontal="left" vertical="center"/>
    </xf>
    <xf numFmtId="8" fontId="90" fillId="28" borderId="95" xfId="0" applyNumberFormat="1" applyFont="1" applyFill="1" applyBorder="1" applyAlignment="1">
      <alignment horizontal="left" vertical="center"/>
    </xf>
    <xf numFmtId="8" fontId="90" fillId="28" borderId="93" xfId="0" applyNumberFormat="1" applyFont="1" applyFill="1" applyBorder="1" applyAlignment="1">
      <alignment horizontal="left" vertical="center"/>
    </xf>
    <xf numFmtId="8" fontId="90" fillId="28" borderId="94" xfId="0" applyNumberFormat="1" applyFont="1" applyFill="1" applyBorder="1" applyAlignment="1">
      <alignment horizontal="left" vertical="center"/>
    </xf>
    <xf numFmtId="0" fontId="47" fillId="0" borderId="0" xfId="0" applyFont="1" applyAlignment="1">
      <alignment horizontal="center" vertical="center"/>
    </xf>
    <xf numFmtId="43" fontId="163" fillId="29" borderId="96" xfId="1" applyFont="1" applyFill="1" applyBorder="1" applyAlignment="1">
      <alignment horizontal="center" vertical="center"/>
    </xf>
    <xf numFmtId="0" fontId="90" fillId="0" borderId="104" xfId="0" applyFont="1" applyBorder="1" applyAlignment="1">
      <alignment horizontal="center" vertical="center"/>
    </xf>
    <xf numFmtId="0" fontId="90" fillId="0" borderId="106" xfId="0" applyFont="1" applyBorder="1" applyAlignment="1">
      <alignment horizontal="center" vertical="center"/>
    </xf>
    <xf numFmtId="0" fontId="90" fillId="0" borderId="105" xfId="0" applyFont="1" applyBorder="1" applyAlignment="1">
      <alignment horizontal="center" vertical="center"/>
    </xf>
    <xf numFmtId="2" fontId="74" fillId="28" borderId="96" xfId="0" applyNumberFormat="1" applyFont="1" applyFill="1" applyBorder="1" applyAlignment="1">
      <alignment horizontal="center" vertical="center"/>
    </xf>
    <xf numFmtId="0" fontId="105" fillId="0" borderId="109" xfId="0" applyFont="1" applyBorder="1" applyAlignment="1">
      <alignment horizontal="left" vertical="center"/>
    </xf>
    <xf numFmtId="0" fontId="105" fillId="0" borderId="110" xfId="0" applyFont="1" applyBorder="1" applyAlignment="1">
      <alignment horizontal="left" vertical="center"/>
    </xf>
    <xf numFmtId="0" fontId="105" fillId="0" borderId="0" xfId="0" applyFont="1" applyAlignment="1">
      <alignment horizontal="left" vertical="center"/>
    </xf>
    <xf numFmtId="0" fontId="105" fillId="0" borderId="100" xfId="0" applyFont="1" applyBorder="1" applyAlignment="1">
      <alignment horizontal="left" vertical="center"/>
    </xf>
    <xf numFmtId="0" fontId="105" fillId="0" borderId="93" xfId="0" applyFont="1" applyBorder="1" applyAlignment="1">
      <alignment horizontal="left" vertical="center"/>
    </xf>
    <xf numFmtId="0" fontId="105" fillId="0" borderId="94" xfId="0" applyFont="1" applyBorder="1" applyAlignment="1">
      <alignment horizontal="left" vertical="center"/>
    </xf>
    <xf numFmtId="8" fontId="90" fillId="28" borderId="108" xfId="0" applyNumberFormat="1" applyFont="1" applyFill="1" applyBorder="1" applyAlignment="1">
      <alignment horizontal="justify" vertical="center" wrapText="1"/>
    </xf>
    <xf numFmtId="8" fontId="90" fillId="28" borderId="109" xfId="0" applyNumberFormat="1" applyFont="1" applyFill="1" applyBorder="1" applyAlignment="1">
      <alignment horizontal="justify" vertical="center" wrapText="1"/>
    </xf>
    <xf numFmtId="8" fontId="90" fillId="28" borderId="112" xfId="0" applyNumberFormat="1" applyFont="1" applyFill="1" applyBorder="1" applyAlignment="1">
      <alignment horizontal="justify" vertical="center" wrapText="1"/>
    </xf>
    <xf numFmtId="8" fontId="90" fillId="28" borderId="0" xfId="0" applyNumberFormat="1" applyFont="1" applyFill="1" applyAlignment="1">
      <alignment horizontal="justify" vertical="center" wrapText="1"/>
    </xf>
    <xf numFmtId="8" fontId="90" fillId="28" borderId="95" xfId="0" applyNumberFormat="1" applyFont="1" applyFill="1" applyBorder="1" applyAlignment="1">
      <alignment horizontal="justify" vertical="center" wrapText="1"/>
    </xf>
    <xf numFmtId="8" fontId="90" fillId="28" borderId="93" xfId="0" applyNumberFormat="1" applyFont="1" applyFill="1" applyBorder="1" applyAlignment="1">
      <alignment horizontal="justify" vertical="center" wrapText="1"/>
    </xf>
    <xf numFmtId="0" fontId="28" fillId="0" borderId="108" xfId="0" applyFont="1" applyBorder="1" applyAlignment="1">
      <alignment horizontal="left" vertical="center" wrapText="1"/>
    </xf>
    <xf numFmtId="0" fontId="28" fillId="0" borderId="109" xfId="0" applyFont="1" applyBorder="1" applyAlignment="1">
      <alignment horizontal="left" vertical="center" wrapText="1"/>
    </xf>
    <xf numFmtId="0" fontId="28" fillId="0" borderId="110" xfId="0" applyFont="1" applyBorder="1" applyAlignment="1">
      <alignment horizontal="left" vertical="center" wrapText="1"/>
    </xf>
    <xf numFmtId="0" fontId="28" fillId="0" borderId="8" xfId="0" applyFont="1" applyBorder="1" applyAlignment="1">
      <alignment horizontal="left" vertical="center" wrapText="1"/>
    </xf>
    <xf numFmtId="0" fontId="28" fillId="0" borderId="9" xfId="0" applyFont="1" applyBorder="1" applyAlignment="1">
      <alignment horizontal="left" vertical="center" wrapText="1"/>
    </xf>
    <xf numFmtId="0" fontId="28" fillId="0" borderId="10" xfId="0" applyFont="1" applyBorder="1" applyAlignment="1">
      <alignment horizontal="left" vertical="center" wrapText="1"/>
    </xf>
    <xf numFmtId="14" fontId="3" fillId="28" borderId="108" xfId="0" applyNumberFormat="1" applyFont="1" applyFill="1" applyBorder="1" applyAlignment="1">
      <alignment horizontal="left" vertical="center"/>
    </xf>
    <xf numFmtId="14" fontId="3" fillId="28" borderId="109" xfId="0" applyNumberFormat="1" applyFont="1" applyFill="1" applyBorder="1" applyAlignment="1">
      <alignment horizontal="left" vertical="center"/>
    </xf>
    <xf numFmtId="14" fontId="3" fillId="28" borderId="8" xfId="0" applyNumberFormat="1" applyFont="1" applyFill="1" applyBorder="1" applyAlignment="1">
      <alignment horizontal="left" vertical="center"/>
    </xf>
    <xf numFmtId="14" fontId="3" fillId="28" borderId="9" xfId="0" applyNumberFormat="1" applyFont="1" applyFill="1" applyBorder="1" applyAlignment="1">
      <alignment horizontal="left" vertical="center"/>
    </xf>
    <xf numFmtId="8" fontId="3" fillId="28" borderId="104" xfId="0" applyNumberFormat="1" applyFont="1" applyFill="1" applyBorder="1" applyAlignment="1">
      <alignment horizontal="left" vertical="center"/>
    </xf>
    <xf numFmtId="8" fontId="3" fillId="28" borderId="106" xfId="0" applyNumberFormat="1" applyFont="1" applyFill="1" applyBorder="1" applyAlignment="1">
      <alignment horizontal="left" vertical="center"/>
    </xf>
    <xf numFmtId="8" fontId="3" fillId="28" borderId="105" xfId="0" applyNumberFormat="1" applyFont="1" applyFill="1" applyBorder="1" applyAlignment="1">
      <alignment horizontal="left" vertical="center"/>
    </xf>
    <xf numFmtId="0" fontId="53" fillId="0" borderId="107" xfId="0" applyFont="1" applyBorder="1" applyAlignment="1">
      <alignment horizontal="left" vertical="center"/>
    </xf>
    <xf numFmtId="0" fontId="53" fillId="0" borderId="94" xfId="0" applyFont="1" applyBorder="1" applyAlignment="1">
      <alignment horizontal="left" vertical="center"/>
    </xf>
    <xf numFmtId="0" fontId="53" fillId="0" borderId="92" xfId="0" applyFont="1" applyBorder="1" applyAlignment="1">
      <alignment horizontal="left" vertical="center"/>
    </xf>
    <xf numFmtId="8" fontId="90" fillId="0" borderId="107" xfId="0" applyNumberFormat="1" applyFont="1" applyBorder="1" applyAlignment="1">
      <alignment horizontal="justify" vertical="center" wrapText="1"/>
    </xf>
    <xf numFmtId="8" fontId="90" fillId="0" borderId="92" xfId="0" applyNumberFormat="1" applyFont="1" applyBorder="1" applyAlignment="1">
      <alignment horizontal="justify" vertical="center" wrapText="1"/>
    </xf>
    <xf numFmtId="49" fontId="53" fillId="0" borderId="104" xfId="0" applyNumberFormat="1" applyFont="1" applyBorder="1" applyAlignment="1">
      <alignment horizontal="left" vertical="center"/>
    </xf>
    <xf numFmtId="49" fontId="53" fillId="0" borderId="106" xfId="0" applyNumberFormat="1" applyFont="1" applyBorder="1" applyAlignment="1">
      <alignment horizontal="left" vertical="center"/>
    </xf>
    <xf numFmtId="49" fontId="53" fillId="0" borderId="105" xfId="0" applyNumberFormat="1" applyFont="1" applyBorder="1" applyAlignment="1">
      <alignment horizontal="left" vertical="center"/>
    </xf>
    <xf numFmtId="8" fontId="90" fillId="0" borderId="109" xfId="0" applyNumberFormat="1" applyFont="1" applyBorder="1" applyAlignment="1">
      <alignment horizontal="justify" vertical="center" wrapText="1"/>
    </xf>
    <xf numFmtId="8" fontId="90" fillId="0" borderId="0" xfId="0" applyNumberFormat="1" applyFont="1" applyAlignment="1">
      <alignment horizontal="justify" vertical="center" wrapText="1"/>
    </xf>
    <xf numFmtId="8" fontId="90" fillId="0" borderId="93" xfId="0" applyNumberFormat="1" applyFont="1" applyBorder="1" applyAlignment="1">
      <alignment horizontal="justify" vertical="center" wrapText="1"/>
    </xf>
    <xf numFmtId="0" fontId="53" fillId="0" borderId="0" xfId="0" applyFont="1" applyAlignment="1">
      <alignment horizontal="left" vertical="center"/>
    </xf>
    <xf numFmtId="0" fontId="53" fillId="0" borderId="100" xfId="0" applyFont="1" applyBorder="1" applyAlignment="1">
      <alignment horizontal="left" vertical="center"/>
    </xf>
    <xf numFmtId="8" fontId="90" fillId="0" borderId="104" xfId="0" applyNumberFormat="1" applyFont="1" applyBorder="1" applyAlignment="1">
      <alignment horizontal="left" vertical="center" wrapText="1"/>
    </xf>
    <xf numFmtId="8" fontId="90" fillId="0" borderId="106" xfId="0" applyNumberFormat="1" applyFont="1" applyBorder="1" applyAlignment="1">
      <alignment horizontal="left" vertical="center" wrapText="1"/>
    </xf>
    <xf numFmtId="0" fontId="53" fillId="0" borderId="109" xfId="0" applyFont="1" applyBorder="1" applyAlignment="1">
      <alignment horizontal="center" vertical="center"/>
    </xf>
    <xf numFmtId="0" fontId="53" fillId="0" borderId="0" xfId="0" applyFont="1" applyAlignment="1">
      <alignment horizontal="center" vertical="center"/>
    </xf>
    <xf numFmtId="2" fontId="162" fillId="28" borderId="96" xfId="0" applyNumberFormat="1" applyFont="1" applyFill="1" applyBorder="1" applyAlignment="1">
      <alignment horizontal="center" vertical="center"/>
    </xf>
    <xf numFmtId="8" fontId="90" fillId="0" borderId="100" xfId="0" applyNumberFormat="1" applyFont="1" applyBorder="1" applyAlignment="1">
      <alignment horizontal="left" vertical="center"/>
    </xf>
    <xf numFmtId="186" fontId="90" fillId="0" borderId="109" xfId="0" applyNumberFormat="1" applyFont="1" applyBorder="1" applyAlignment="1">
      <alignment horizontal="left" vertical="center"/>
    </xf>
    <xf numFmtId="0" fontId="90" fillId="0" borderId="109" xfId="0" applyFont="1" applyBorder="1" applyAlignment="1">
      <alignment horizontal="left" vertical="center"/>
    </xf>
    <xf numFmtId="0" fontId="53" fillId="0" borderId="112" xfId="0" applyFont="1" applyBorder="1" applyAlignment="1">
      <alignment horizontal="left" vertical="center"/>
    </xf>
    <xf numFmtId="49" fontId="104" fillId="0" borderId="0" xfId="0" applyNumberFormat="1" applyFont="1" applyAlignment="1">
      <alignment horizontal="left" vertical="center"/>
    </xf>
    <xf numFmtId="0" fontId="104" fillId="0" borderId="0" xfId="0" applyFont="1" applyAlignment="1">
      <alignment horizontal="left" vertical="center"/>
    </xf>
    <xf numFmtId="0" fontId="117" fillId="0" borderId="103" xfId="0" applyFont="1" applyBorder="1" applyAlignment="1">
      <alignment horizontal="right" vertical="center"/>
    </xf>
    <xf numFmtId="0" fontId="52" fillId="0" borderId="105" xfId="0" applyFont="1" applyBorder="1" applyAlignment="1">
      <alignment horizontal="left" vertical="top" wrapText="1"/>
    </xf>
    <xf numFmtId="0" fontId="52" fillId="0" borderId="96" xfId="0" applyFont="1" applyBorder="1" applyAlignment="1">
      <alignment horizontal="left" vertical="top"/>
    </xf>
    <xf numFmtId="0" fontId="52" fillId="0" borderId="104" xfId="0" applyFont="1" applyBorder="1" applyAlignment="1">
      <alignment horizontal="left" vertical="top"/>
    </xf>
    <xf numFmtId="0" fontId="52" fillId="0" borderId="105" xfId="0" applyFont="1" applyBorder="1" applyAlignment="1">
      <alignment horizontal="left" vertical="top"/>
    </xf>
    <xf numFmtId="0" fontId="90" fillId="0" borderId="94" xfId="0" applyFont="1" applyBorder="1" applyAlignment="1">
      <alignment horizontal="left" vertical="center" wrapText="1"/>
    </xf>
    <xf numFmtId="0" fontId="53" fillId="0" borderId="95" xfId="0" applyFont="1" applyBorder="1" applyAlignment="1">
      <alignment horizontal="left" vertical="center"/>
    </xf>
    <xf numFmtId="0" fontId="90" fillId="0" borderId="93" xfId="0" applyFont="1" applyBorder="1" applyAlignment="1">
      <alignment horizontal="left" vertical="center"/>
    </xf>
    <xf numFmtId="0" fontId="105" fillId="25" borderId="104" xfId="0" applyFont="1" applyFill="1" applyBorder="1" applyAlignment="1">
      <alignment horizontal="center" vertical="center"/>
    </xf>
    <xf numFmtId="0" fontId="105" fillId="25" borderId="106" xfId="0" applyFont="1" applyFill="1" applyBorder="1" applyAlignment="1">
      <alignment horizontal="center" vertical="center"/>
    </xf>
    <xf numFmtId="0" fontId="105" fillId="25" borderId="105" xfId="0" applyFont="1" applyFill="1" applyBorder="1" applyAlignment="1">
      <alignment horizontal="center" vertical="center"/>
    </xf>
    <xf numFmtId="0" fontId="62" fillId="25" borderId="104" xfId="0" applyFont="1" applyFill="1" applyBorder="1" applyAlignment="1">
      <alignment horizontal="center" vertical="center"/>
    </xf>
    <xf numFmtId="0" fontId="62" fillId="25" borderId="106" xfId="0" applyFont="1" applyFill="1" applyBorder="1" applyAlignment="1">
      <alignment horizontal="center" vertical="center"/>
    </xf>
    <xf numFmtId="0" fontId="62" fillId="25" borderId="105" xfId="0" applyFont="1" applyFill="1" applyBorder="1" applyAlignment="1">
      <alignment horizontal="center" vertical="center"/>
    </xf>
    <xf numFmtId="0" fontId="121" fillId="25" borderId="104" xfId="0" applyFont="1" applyFill="1" applyBorder="1" applyAlignment="1">
      <alignment horizontal="center" vertical="center"/>
    </xf>
    <xf numFmtId="0" fontId="121" fillId="25" borderId="106" xfId="0" applyFont="1" applyFill="1" applyBorder="1" applyAlignment="1">
      <alignment horizontal="center" vertical="center"/>
    </xf>
    <xf numFmtId="0" fontId="121" fillId="25" borderId="105" xfId="0" applyFont="1" applyFill="1" applyBorder="1" applyAlignment="1">
      <alignment horizontal="center" vertical="center"/>
    </xf>
    <xf numFmtId="0" fontId="53" fillId="25" borderId="106" xfId="0" applyFont="1" applyFill="1" applyBorder="1" applyAlignment="1">
      <alignment horizontal="center" vertical="center"/>
    </xf>
    <xf numFmtId="0" fontId="90" fillId="28" borderId="96" xfId="0" applyFont="1" applyFill="1" applyBorder="1" applyAlignment="1">
      <alignment horizontal="left"/>
    </xf>
    <xf numFmtId="4" fontId="75" fillId="0" borderId="96" xfId="1" applyNumberFormat="1" applyFont="1" applyFill="1" applyBorder="1" applyAlignment="1">
      <alignment horizontal="center" vertical="center"/>
    </xf>
    <xf numFmtId="4" fontId="90" fillId="0" borderId="96" xfId="1" applyNumberFormat="1" applyFont="1" applyBorder="1" applyAlignment="1">
      <alignment horizontal="center" vertical="center"/>
    </xf>
    <xf numFmtId="0" fontId="55" fillId="25" borderId="105" xfId="0" applyFont="1" applyFill="1" applyBorder="1" applyAlignment="1">
      <alignment horizontal="center" vertical="center"/>
    </xf>
    <xf numFmtId="0" fontId="55" fillId="25" borderId="96" xfId="0" applyFont="1" applyFill="1" applyBorder="1" applyAlignment="1">
      <alignment horizontal="center" vertical="center"/>
    </xf>
    <xf numFmtId="0" fontId="55" fillId="25" borderId="104" xfId="0" applyFont="1" applyFill="1" applyBorder="1" applyAlignment="1">
      <alignment horizontal="center" vertical="center"/>
    </xf>
    <xf numFmtId="186" fontId="3" fillId="0" borderId="109" xfId="0" applyNumberFormat="1" applyFont="1" applyBorder="1" applyAlignment="1">
      <alignment horizontal="left" vertical="center"/>
    </xf>
    <xf numFmtId="0" fontId="53" fillId="0" borderId="104" xfId="0" applyFont="1" applyBorder="1" applyAlignment="1">
      <alignment horizontal="center" vertical="center"/>
    </xf>
    <xf numFmtId="0" fontId="53" fillId="0" borderId="106" xfId="0" applyFont="1" applyBorder="1" applyAlignment="1">
      <alignment horizontal="center" vertical="center"/>
    </xf>
    <xf numFmtId="0" fontId="53" fillId="0" borderId="105" xfId="0" applyFont="1" applyBorder="1" applyAlignment="1">
      <alignment horizontal="center" vertical="center"/>
    </xf>
    <xf numFmtId="0" fontId="3" fillId="0" borderId="108" xfId="316" applyFont="1" applyBorder="1" applyAlignment="1">
      <alignment horizontal="center" vertical="center"/>
    </xf>
    <xf numFmtId="0" fontId="3" fillId="0" borderId="110" xfId="316" applyFont="1" applyBorder="1" applyAlignment="1">
      <alignment horizontal="center" vertical="center"/>
    </xf>
    <xf numFmtId="0" fontId="53" fillId="0" borderId="96" xfId="0" applyFont="1" applyBorder="1" applyAlignment="1">
      <alignment horizontal="center" vertical="center" wrapText="1"/>
    </xf>
    <xf numFmtId="0" fontId="53" fillId="0" borderId="96" xfId="0" applyFont="1" applyBorder="1" applyAlignment="1">
      <alignment horizontal="center" vertical="center"/>
    </xf>
    <xf numFmtId="190" fontId="3" fillId="0" borderId="104" xfId="160" applyNumberFormat="1" applyFont="1" applyBorder="1" applyAlignment="1">
      <alignment horizontal="center" vertical="center"/>
    </xf>
    <xf numFmtId="190" fontId="3" fillId="0" borderId="106" xfId="160" applyNumberFormat="1" applyFont="1" applyBorder="1" applyAlignment="1">
      <alignment horizontal="center" vertical="center"/>
    </xf>
    <xf numFmtId="190" fontId="3" fillId="0" borderId="105" xfId="160" applyNumberFormat="1" applyFont="1" applyBorder="1" applyAlignment="1">
      <alignment horizontal="center" vertical="center"/>
    </xf>
    <xf numFmtId="0" fontId="28" fillId="29" borderId="96" xfId="0" applyFont="1" applyFill="1" applyBorder="1" applyAlignment="1">
      <alignment horizontal="center" vertical="center"/>
    </xf>
    <xf numFmtId="0" fontId="28" fillId="0" borderId="104" xfId="160" applyFont="1" applyBorder="1" applyAlignment="1">
      <alignment horizontal="center" vertical="center"/>
    </xf>
    <xf numFmtId="0" fontId="28" fillId="0" borderId="106" xfId="160" applyFont="1" applyBorder="1" applyAlignment="1">
      <alignment horizontal="center" vertical="center"/>
    </xf>
    <xf numFmtId="0" fontId="28" fillId="0" borderId="105" xfId="160" applyFont="1" applyBorder="1" applyAlignment="1">
      <alignment horizontal="center" vertical="center"/>
    </xf>
    <xf numFmtId="190" fontId="90" fillId="0" borderId="108" xfId="51" applyNumberFormat="1" applyFont="1" applyFill="1" applyBorder="1" applyAlignment="1">
      <alignment horizontal="center" vertical="center"/>
    </xf>
    <xf numFmtId="190" fontId="90" fillId="0" borderId="109" xfId="51" applyNumberFormat="1" applyFont="1" applyFill="1" applyBorder="1" applyAlignment="1">
      <alignment horizontal="center" vertical="center"/>
    </xf>
    <xf numFmtId="190" fontId="90" fillId="0" borderId="110" xfId="51" applyNumberFormat="1" applyFont="1" applyFill="1" applyBorder="1" applyAlignment="1">
      <alignment horizontal="center" vertical="center"/>
    </xf>
    <xf numFmtId="190" fontId="90" fillId="0" borderId="95" xfId="51" applyNumberFormat="1" applyFont="1" applyFill="1" applyBorder="1" applyAlignment="1">
      <alignment horizontal="center" vertical="center"/>
    </xf>
    <xf numFmtId="190" fontId="90" fillId="0" borderId="93" xfId="51" applyNumberFormat="1" applyFont="1" applyFill="1" applyBorder="1" applyAlignment="1">
      <alignment horizontal="center" vertical="center"/>
    </xf>
    <xf numFmtId="190" fontId="90" fillId="0" borderId="94" xfId="51" applyNumberFormat="1" applyFont="1" applyFill="1" applyBorder="1" applyAlignment="1">
      <alignment horizontal="center" vertical="center"/>
    </xf>
    <xf numFmtId="10" fontId="90" fillId="0" borderId="104" xfId="51" applyNumberFormat="1" applyFont="1" applyFill="1" applyBorder="1" applyAlignment="1">
      <alignment horizontal="center" vertical="center"/>
    </xf>
    <xf numFmtId="10" fontId="90" fillId="0" borderId="106" xfId="51" applyNumberFormat="1" applyFont="1" applyFill="1" applyBorder="1" applyAlignment="1">
      <alignment horizontal="center" vertical="center"/>
    </xf>
    <xf numFmtId="10" fontId="90" fillId="0" borderId="105" xfId="51" applyNumberFormat="1" applyFont="1" applyFill="1" applyBorder="1" applyAlignment="1">
      <alignment horizontal="center" vertical="center"/>
    </xf>
    <xf numFmtId="0" fontId="28" fillId="0" borderId="96" xfId="160" applyFont="1" applyBorder="1" applyAlignment="1">
      <alignment horizontal="center" vertical="center"/>
    </xf>
    <xf numFmtId="0" fontId="90" fillId="0" borderId="0" xfId="0" applyFont="1" applyAlignment="1">
      <alignment horizontal="left" vertical="center"/>
    </xf>
    <xf numFmtId="190" fontId="3" fillId="0" borderId="59" xfId="160" applyNumberFormat="1" applyFont="1" applyBorder="1" applyAlignment="1">
      <alignment horizontal="center" vertical="center"/>
    </xf>
    <xf numFmtId="190" fontId="3" fillId="0" borderId="76" xfId="160" applyNumberFormat="1" applyFont="1" applyBorder="1" applyAlignment="1">
      <alignment horizontal="center" vertical="center"/>
    </xf>
    <xf numFmtId="190" fontId="3" fillId="0" borderId="70" xfId="160" applyNumberFormat="1" applyFont="1" applyBorder="1" applyAlignment="1">
      <alignment horizontal="center" vertical="center"/>
    </xf>
    <xf numFmtId="0" fontId="48" fillId="0" borderId="0" xfId="160" applyFont="1" applyAlignment="1">
      <alignment horizontal="left" vertical="center"/>
    </xf>
    <xf numFmtId="0" fontId="3" fillId="0" borderId="112" xfId="160" applyFont="1" applyBorder="1" applyAlignment="1">
      <alignment horizontal="left" vertical="center"/>
    </xf>
    <xf numFmtId="0" fontId="3" fillId="0" borderId="0" xfId="160" applyFont="1" applyAlignment="1">
      <alignment horizontal="left" vertical="center"/>
    </xf>
    <xf numFmtId="10" fontId="90" fillId="0" borderId="104" xfId="160" applyNumberFormat="1" applyFont="1" applyBorder="1" applyAlignment="1">
      <alignment horizontal="center" vertical="center"/>
    </xf>
    <xf numFmtId="10" fontId="90" fillId="0" borderId="106" xfId="160" applyNumberFormat="1" applyFont="1" applyBorder="1" applyAlignment="1">
      <alignment horizontal="center" vertical="center"/>
    </xf>
    <xf numFmtId="10" fontId="90" fillId="0" borderId="105" xfId="160" applyNumberFormat="1" applyFont="1" applyBorder="1" applyAlignment="1">
      <alignment horizontal="center" vertical="center"/>
    </xf>
    <xf numFmtId="0" fontId="28" fillId="28" borderId="0" xfId="160" applyFont="1" applyFill="1" applyAlignment="1" applyProtection="1">
      <alignment horizontal="center" vertical="center" wrapText="1"/>
      <protection locked="0"/>
    </xf>
    <xf numFmtId="0" fontId="26" fillId="0" borderId="108" xfId="283" applyFont="1" applyBorder="1" applyAlignment="1">
      <alignment horizontal="center" vertical="justify" wrapText="1"/>
    </xf>
    <xf numFmtId="0" fontId="26" fillId="0" borderId="109" xfId="283" applyFont="1" applyBorder="1" applyAlignment="1">
      <alignment horizontal="center" vertical="justify" wrapText="1"/>
    </xf>
    <xf numFmtId="0" fontId="26" fillId="0" borderId="110" xfId="283" applyFont="1" applyBorder="1" applyAlignment="1">
      <alignment horizontal="center" vertical="justify" wrapText="1"/>
    </xf>
    <xf numFmtId="0" fontId="26" fillId="0" borderId="121" xfId="283" applyFont="1" applyBorder="1" applyAlignment="1">
      <alignment horizontal="center" vertical="justify" wrapText="1"/>
    </xf>
    <xf numFmtId="0" fontId="26" fillId="0" borderId="0" xfId="283" applyFont="1" applyAlignment="1">
      <alignment horizontal="center" vertical="justify" wrapText="1"/>
    </xf>
    <xf numFmtId="0" fontId="26" fillId="0" borderId="122" xfId="283" applyFont="1" applyBorder="1" applyAlignment="1">
      <alignment horizontal="center" vertical="justify" wrapText="1"/>
    </xf>
    <xf numFmtId="0" fontId="26" fillId="0" borderId="95" xfId="283" applyFont="1" applyBorder="1" applyAlignment="1">
      <alignment horizontal="center" vertical="justify" wrapText="1"/>
    </xf>
    <xf numFmtId="0" fontId="26" fillId="0" borderId="93" xfId="283" applyFont="1" applyBorder="1" applyAlignment="1">
      <alignment horizontal="center" vertical="justify" wrapText="1"/>
    </xf>
    <xf numFmtId="0" fontId="26" fillId="0" borderId="94" xfId="283" applyFont="1" applyBorder="1" applyAlignment="1">
      <alignment horizontal="center" vertical="justify" wrapText="1"/>
    </xf>
    <xf numFmtId="190" fontId="3" fillId="0" borderId="96" xfId="160" applyNumberFormat="1" applyFont="1" applyBorder="1" applyAlignment="1">
      <alignment horizontal="center" vertical="center"/>
    </xf>
    <xf numFmtId="0" fontId="119" fillId="0" borderId="101" xfId="160" applyFont="1" applyBorder="1" applyAlignment="1">
      <alignment horizontal="right" vertical="center"/>
    </xf>
    <xf numFmtId="0" fontId="53" fillId="0" borderId="121" xfId="0" applyFont="1" applyBorder="1" applyAlignment="1">
      <alignment horizontal="left" vertical="center"/>
    </xf>
    <xf numFmtId="0" fontId="90" fillId="0" borderId="96" xfId="0" applyFont="1" applyBorder="1" applyAlignment="1">
      <alignment horizontal="center" vertical="center" wrapText="1"/>
    </xf>
    <xf numFmtId="165" fontId="90" fillId="0" borderId="121" xfId="0" applyNumberFormat="1" applyFont="1" applyBorder="1" applyAlignment="1">
      <alignment horizontal="center" vertical="center"/>
    </xf>
    <xf numFmtId="165" fontId="90" fillId="0" borderId="0" xfId="0" applyNumberFormat="1" applyFont="1" applyAlignment="1">
      <alignment horizontal="center" vertical="center"/>
    </xf>
    <xf numFmtId="0" fontId="28" fillId="29" borderId="104" xfId="0" applyFont="1" applyFill="1" applyBorder="1" applyAlignment="1">
      <alignment horizontal="center" vertical="center"/>
    </xf>
    <xf numFmtId="0" fontId="28" fillId="29" borderId="106" xfId="0" applyFont="1" applyFill="1" applyBorder="1" applyAlignment="1">
      <alignment horizontal="center" vertical="center"/>
    </xf>
    <xf numFmtId="0" fontId="28" fillId="29" borderId="105" xfId="0" applyFont="1" applyFill="1" applyBorder="1" applyAlignment="1">
      <alignment horizontal="center" vertical="center"/>
    </xf>
    <xf numFmtId="190" fontId="3" fillId="0" borderId="108" xfId="51" applyNumberFormat="1" applyFont="1" applyFill="1" applyBorder="1" applyAlignment="1">
      <alignment horizontal="center" vertical="center"/>
    </xf>
    <xf numFmtId="190" fontId="3" fillId="0" borderId="109" xfId="51" applyNumberFormat="1" applyFont="1" applyFill="1" applyBorder="1" applyAlignment="1">
      <alignment horizontal="center" vertical="center"/>
    </xf>
    <xf numFmtId="190" fontId="3" fillId="0" borderId="110" xfId="51" applyNumberFormat="1" applyFont="1" applyFill="1" applyBorder="1" applyAlignment="1">
      <alignment horizontal="center" vertical="center"/>
    </xf>
    <xf numFmtId="190" fontId="3" fillId="0" borderId="95" xfId="51" applyNumberFormat="1" applyFont="1" applyFill="1" applyBorder="1" applyAlignment="1">
      <alignment horizontal="center" vertical="center"/>
    </xf>
    <xf numFmtId="190" fontId="3" fillId="0" borderId="93" xfId="51" applyNumberFormat="1" applyFont="1" applyFill="1" applyBorder="1" applyAlignment="1">
      <alignment horizontal="center" vertical="center"/>
    </xf>
    <xf numFmtId="190" fontId="3" fillId="0" borderId="94" xfId="51" applyNumberFormat="1" applyFont="1" applyFill="1" applyBorder="1" applyAlignment="1">
      <alignment horizontal="center" vertical="center"/>
    </xf>
    <xf numFmtId="10" fontId="3" fillId="0" borderId="104" xfId="51" applyNumberFormat="1" applyFont="1" applyFill="1" applyBorder="1" applyAlignment="1">
      <alignment horizontal="center" vertical="center"/>
    </xf>
    <xf numFmtId="10" fontId="3" fillId="0" borderId="106" xfId="51" applyNumberFormat="1" applyFont="1" applyFill="1" applyBorder="1" applyAlignment="1">
      <alignment horizontal="center" vertical="center"/>
    </xf>
    <xf numFmtId="10" fontId="3" fillId="0" borderId="105" xfId="51" applyNumberFormat="1" applyFont="1" applyFill="1" applyBorder="1" applyAlignment="1">
      <alignment horizontal="center" vertical="center"/>
    </xf>
    <xf numFmtId="0" fontId="47" fillId="0" borderId="0" xfId="0" applyFont="1" applyAlignment="1">
      <alignment horizontal="center" vertical="center" wrapText="1"/>
    </xf>
    <xf numFmtId="186" fontId="27" fillId="28" borderId="109" xfId="3032" applyNumberFormat="1" applyFont="1" applyFill="1" applyBorder="1" applyAlignment="1">
      <alignment horizontal="left" vertical="center"/>
    </xf>
    <xf numFmtId="165" fontId="67" fillId="0" borderId="107" xfId="439" applyNumberFormat="1" applyFont="1" applyBorder="1" applyAlignment="1" applyProtection="1">
      <alignment horizontal="center" vertical="center"/>
      <protection hidden="1"/>
    </xf>
    <xf numFmtId="165" fontId="67" fillId="0" borderId="126" xfId="439" applyNumberFormat="1" applyFont="1" applyBorder="1" applyAlignment="1" applyProtection="1">
      <alignment horizontal="center" vertical="center"/>
      <protection hidden="1"/>
    </xf>
    <xf numFmtId="165" fontId="67" fillId="0" borderId="13" xfId="439" applyNumberFormat="1" applyFont="1" applyBorder="1" applyAlignment="1" applyProtection="1">
      <alignment horizontal="center" vertical="center"/>
      <protection hidden="1"/>
    </xf>
    <xf numFmtId="2" fontId="67" fillId="0" borderId="107" xfId="439" applyNumberFormat="1" applyFont="1" applyBorder="1" applyAlignment="1" applyProtection="1">
      <alignment horizontal="center" vertical="center" wrapText="1"/>
      <protection hidden="1"/>
    </xf>
    <xf numFmtId="2" fontId="67" fillId="0" borderId="13" xfId="439" applyNumberFormat="1" applyFont="1" applyBorder="1" applyAlignment="1" applyProtection="1">
      <alignment horizontal="center" vertical="center" wrapText="1"/>
      <protection hidden="1"/>
    </xf>
    <xf numFmtId="0" fontId="92" fillId="25" borderId="82" xfId="439" applyFont="1" applyFill="1" applyBorder="1" applyAlignment="1">
      <alignment horizontal="center" vertical="center"/>
    </xf>
    <xf numFmtId="0" fontId="65" fillId="28" borderId="0" xfId="439" applyFont="1" applyFill="1" applyAlignment="1">
      <alignment horizontal="center" vertical="center"/>
    </xf>
    <xf numFmtId="0" fontId="47" fillId="28" borderId="0" xfId="439" applyFont="1" applyFill="1" applyAlignment="1">
      <alignment horizontal="center"/>
    </xf>
    <xf numFmtId="165" fontId="67" fillId="0" borderId="107" xfId="439" applyNumberFormat="1" applyFont="1" applyBorder="1" applyAlignment="1" applyProtection="1">
      <alignment horizontal="center" vertical="center" textRotation="90"/>
      <protection hidden="1"/>
    </xf>
    <xf numFmtId="165" fontId="67" fillId="0" borderId="126" xfId="439" applyNumberFormat="1" applyFont="1" applyBorder="1" applyAlignment="1" applyProtection="1">
      <alignment horizontal="center" vertical="center" textRotation="90"/>
      <protection hidden="1"/>
    </xf>
    <xf numFmtId="165" fontId="67" fillId="0" borderId="13" xfId="439" applyNumberFormat="1" applyFont="1" applyBorder="1" applyAlignment="1" applyProtection="1">
      <alignment horizontal="center" vertical="center" textRotation="90"/>
      <protection hidden="1"/>
    </xf>
    <xf numFmtId="2" fontId="67" fillId="0" borderId="107" xfId="439" applyNumberFormat="1" applyFont="1" applyBorder="1" applyAlignment="1" applyProtection="1">
      <alignment horizontal="center" vertical="center" wrapText="1" shrinkToFit="1"/>
      <protection hidden="1"/>
    </xf>
    <xf numFmtId="2" fontId="67" fillId="0" borderId="13" xfId="439" applyNumberFormat="1" applyFont="1" applyBorder="1" applyAlignment="1" applyProtection="1">
      <alignment horizontal="center" vertical="center" wrapText="1" shrinkToFit="1"/>
      <protection hidden="1"/>
    </xf>
    <xf numFmtId="165" fontId="57" fillId="0" borderId="96" xfId="439" applyNumberFormat="1" applyFont="1" applyBorder="1" applyAlignment="1" applyProtection="1">
      <alignment horizontal="center" vertical="center" textRotation="90"/>
      <protection hidden="1"/>
    </xf>
    <xf numFmtId="0" fontId="66" fillId="29" borderId="0" xfId="430" applyFont="1" applyFill="1" applyAlignment="1">
      <alignment horizontal="left" vertical="center"/>
    </xf>
    <xf numFmtId="0" fontId="4" fillId="28" borderId="0" xfId="439" applyFill="1" applyAlignment="1">
      <alignment horizontal="center" vertical="center"/>
    </xf>
    <xf numFmtId="0" fontId="98" fillId="29" borderId="121" xfId="439" applyFont="1" applyFill="1" applyBorder="1" applyAlignment="1">
      <alignment horizontal="center" vertical="center"/>
    </xf>
    <xf numFmtId="0" fontId="98" fillId="29" borderId="0" xfId="439" applyFont="1" applyFill="1" applyAlignment="1">
      <alignment horizontal="center" vertical="center"/>
    </xf>
    <xf numFmtId="0" fontId="98" fillId="29" borderId="122" xfId="439" applyFont="1" applyFill="1" applyBorder="1" applyAlignment="1">
      <alignment horizontal="center" vertical="center"/>
    </xf>
    <xf numFmtId="0" fontId="100" fillId="29" borderId="93" xfId="439" applyFont="1" applyFill="1" applyBorder="1" applyAlignment="1">
      <alignment horizontal="left"/>
    </xf>
    <xf numFmtId="0" fontId="6" fillId="0" borderId="34" xfId="0" applyFont="1" applyBorder="1" applyAlignment="1">
      <alignment horizontal="center" vertical="center"/>
    </xf>
    <xf numFmtId="0" fontId="6" fillId="0" borderId="32" xfId="0" applyFont="1" applyBorder="1" applyAlignment="1">
      <alignment horizontal="center" vertical="center"/>
    </xf>
    <xf numFmtId="0" fontId="28" fillId="0" borderId="108" xfId="0" applyFont="1" applyBorder="1" applyAlignment="1">
      <alignment horizontal="center" vertical="center" wrapText="1"/>
    </xf>
    <xf numFmtId="0" fontId="28" fillId="0" borderId="109" xfId="0" applyFont="1" applyBorder="1" applyAlignment="1">
      <alignment horizontal="center" vertical="center" wrapText="1"/>
    </xf>
    <xf numFmtId="0" fontId="28" fillId="0" borderId="109" xfId="0" applyFont="1" applyBorder="1" applyAlignment="1">
      <alignment horizontal="center" vertical="center"/>
    </xf>
    <xf numFmtId="0" fontId="28" fillId="0" borderId="110" xfId="0" applyFont="1" applyBorder="1" applyAlignment="1">
      <alignment horizontal="center" vertical="center"/>
    </xf>
    <xf numFmtId="0" fontId="80" fillId="25" borderId="104" xfId="3032" applyFont="1" applyFill="1" applyBorder="1" applyAlignment="1">
      <alignment horizontal="center" vertical="center"/>
    </xf>
    <xf numFmtId="0" fontId="80" fillId="25" borderId="106" xfId="3032" applyFont="1" applyFill="1" applyBorder="1" applyAlignment="1">
      <alignment horizontal="center" vertical="center"/>
    </xf>
    <xf numFmtId="0" fontId="80" fillId="25" borderId="105" xfId="3032" applyFont="1" applyFill="1" applyBorder="1" applyAlignment="1">
      <alignment horizontal="center" vertical="center"/>
    </xf>
    <xf numFmtId="168" fontId="6" fillId="0" borderId="31" xfId="3032" applyNumberFormat="1" applyFont="1" applyBorder="1" applyAlignment="1">
      <alignment horizontal="center" vertical="center"/>
    </xf>
    <xf numFmtId="168" fontId="6" fillId="0" borderId="39" xfId="3032" applyNumberFormat="1" applyFont="1" applyBorder="1" applyAlignment="1">
      <alignment horizontal="center" vertical="center"/>
    </xf>
    <xf numFmtId="168" fontId="6" fillId="0" borderId="29" xfId="3032" applyNumberFormat="1" applyFont="1" applyBorder="1" applyAlignment="1">
      <alignment horizontal="center" vertical="center"/>
    </xf>
    <xf numFmtId="0" fontId="6" fillId="0" borderId="38" xfId="3032" applyFont="1" applyBorder="1" applyAlignment="1">
      <alignment horizontal="center" vertical="center"/>
    </xf>
    <xf numFmtId="0" fontId="6" fillId="0" borderId="44" xfId="3032" applyFont="1" applyBorder="1" applyAlignment="1">
      <alignment horizontal="center" vertical="center"/>
    </xf>
    <xf numFmtId="0" fontId="6" fillId="0" borderId="36" xfId="3032" applyFont="1" applyBorder="1" applyAlignment="1">
      <alignment horizontal="center" vertical="center"/>
    </xf>
    <xf numFmtId="0" fontId="80" fillId="0" borderId="104" xfId="3032" applyFont="1" applyBorder="1" applyAlignment="1">
      <alignment vertical="top"/>
    </xf>
    <xf numFmtId="0" fontId="80" fillId="0" borderId="106" xfId="3032" applyFont="1" applyBorder="1" applyAlignment="1">
      <alignment vertical="top"/>
    </xf>
    <xf numFmtId="0" fontId="6" fillId="25" borderId="34" xfId="0" applyFont="1" applyFill="1" applyBorder="1" applyAlignment="1">
      <alignment horizontal="center" vertical="center"/>
    </xf>
    <xf numFmtId="0" fontId="6" fillId="25" borderId="32" xfId="0" applyFont="1" applyFill="1" applyBorder="1" applyAlignment="1">
      <alignment horizontal="center" vertical="center"/>
    </xf>
    <xf numFmtId="0" fontId="71" fillId="25" borderId="96" xfId="3032" applyFont="1" applyFill="1" applyBorder="1" applyAlignment="1">
      <alignment horizontal="center" vertical="center"/>
    </xf>
    <xf numFmtId="0" fontId="72" fillId="0" borderId="96" xfId="3032" applyFont="1" applyBorder="1" applyAlignment="1">
      <alignment horizontal="center" vertical="center"/>
    </xf>
    <xf numFmtId="0" fontId="80" fillId="25" borderId="107" xfId="3032" applyFont="1" applyFill="1" applyBorder="1" applyAlignment="1">
      <alignment horizontal="center" vertical="center"/>
    </xf>
    <xf numFmtId="0" fontId="80" fillId="25" borderId="13" xfId="3032" applyFont="1" applyFill="1" applyBorder="1" applyAlignment="1">
      <alignment horizontal="center" vertical="center"/>
    </xf>
    <xf numFmtId="0" fontId="80" fillId="25" borderId="107" xfId="3032" applyFont="1" applyFill="1" applyBorder="1" applyAlignment="1">
      <alignment horizontal="center" vertical="center" wrapText="1"/>
    </xf>
    <xf numFmtId="0" fontId="80" fillId="25" borderId="13" xfId="3032" applyFont="1" applyFill="1" applyBorder="1" applyAlignment="1">
      <alignment horizontal="center" vertical="center" wrapText="1"/>
    </xf>
    <xf numFmtId="0" fontId="80" fillId="25" borderId="96" xfId="3032" applyFont="1" applyFill="1" applyBorder="1" applyAlignment="1">
      <alignment horizontal="center" vertical="center"/>
    </xf>
    <xf numFmtId="0" fontId="80" fillId="0" borderId="104" xfId="3032" applyFont="1" applyBorder="1" applyAlignment="1">
      <alignment horizontal="justify" vertical="center" wrapText="1"/>
    </xf>
    <xf numFmtId="0" fontId="80" fillId="0" borderId="106" xfId="3032" applyFont="1" applyBorder="1" applyAlignment="1">
      <alignment horizontal="justify" vertical="center"/>
    </xf>
    <xf numFmtId="0" fontId="80" fillId="0" borderId="105" xfId="3032" applyFont="1" applyBorder="1" applyAlignment="1">
      <alignment horizontal="justify" vertical="center"/>
    </xf>
    <xf numFmtId="4" fontId="4" fillId="0" borderId="0" xfId="3032" applyNumberFormat="1" applyAlignment="1">
      <alignment horizontal="center"/>
    </xf>
    <xf numFmtId="0" fontId="6" fillId="28" borderId="34" xfId="0" applyFont="1" applyFill="1" applyBorder="1" applyAlignment="1">
      <alignment horizontal="center" vertical="center"/>
    </xf>
    <xf numFmtId="0" fontId="6" fillId="28" borderId="32" xfId="0" applyFont="1" applyFill="1" applyBorder="1" applyAlignment="1">
      <alignment horizontal="center" vertical="center"/>
    </xf>
    <xf numFmtId="0" fontId="83" fillId="0" borderId="91" xfId="3032" applyFont="1" applyBorder="1" applyAlignment="1">
      <alignment horizontal="center" vertical="center"/>
    </xf>
    <xf numFmtId="0" fontId="83" fillId="0" borderId="9" xfId="3032" applyFont="1" applyBorder="1" applyAlignment="1">
      <alignment horizontal="center" vertical="center"/>
    </xf>
    <xf numFmtId="0" fontId="83" fillId="0" borderId="10" xfId="3032" applyFont="1" applyBorder="1" applyAlignment="1">
      <alignment horizontal="center" vertical="center"/>
    </xf>
    <xf numFmtId="0" fontId="46" fillId="0" borderId="31" xfId="3032" applyFont="1" applyBorder="1" applyAlignment="1">
      <alignment horizontal="left" vertical="center"/>
    </xf>
    <xf numFmtId="0" fontId="46" fillId="0" borderId="39" xfId="3032" applyFont="1" applyBorder="1" applyAlignment="1">
      <alignment horizontal="left" vertical="center"/>
    </xf>
    <xf numFmtId="0" fontId="46" fillId="0" borderId="34" xfId="3032" applyFont="1" applyBorder="1" applyAlignment="1">
      <alignment horizontal="left" vertical="center"/>
    </xf>
    <xf numFmtId="0" fontId="46" fillId="0" borderId="35" xfId="3032" applyFont="1" applyBorder="1" applyAlignment="1">
      <alignment horizontal="left" vertical="center"/>
    </xf>
    <xf numFmtId="0" fontId="46" fillId="0" borderId="68" xfId="3032" applyFont="1" applyBorder="1" applyAlignment="1">
      <alignment horizontal="left" vertical="center"/>
    </xf>
    <xf numFmtId="0" fontId="46" fillId="0" borderId="91" xfId="3032" applyFont="1" applyBorder="1" applyAlignment="1">
      <alignment horizontal="left" vertical="center"/>
    </xf>
    <xf numFmtId="0" fontId="46" fillId="0" borderId="9" xfId="3032" applyFont="1" applyBorder="1" applyAlignment="1">
      <alignment horizontal="left" vertical="center"/>
    </xf>
    <xf numFmtId="0" fontId="4" fillId="0" borderId="31" xfId="3032" applyBorder="1" applyAlignment="1">
      <alignment horizontal="left" vertical="center"/>
    </xf>
    <xf numFmtId="0" fontId="4" fillId="0" borderId="39" xfId="3032" applyBorder="1" applyAlignment="1">
      <alignment horizontal="left" vertical="center"/>
    </xf>
    <xf numFmtId="4" fontId="6" fillId="28" borderId="85" xfId="3032" applyNumberFormat="1" applyFont="1" applyFill="1" applyBorder="1" applyAlignment="1">
      <alignment horizontal="center"/>
    </xf>
    <xf numFmtId="4" fontId="6" fillId="28" borderId="83" xfId="3032" applyNumberFormat="1" applyFont="1" applyFill="1" applyBorder="1" applyAlignment="1">
      <alignment horizontal="center"/>
    </xf>
    <xf numFmtId="0" fontId="4" fillId="0" borderId="59" xfId="3032" applyBorder="1" applyAlignment="1">
      <alignment horizontal="center"/>
    </xf>
    <xf numFmtId="0" fontId="4" fillId="0" borderId="76" xfId="3032" applyBorder="1" applyAlignment="1">
      <alignment horizontal="center"/>
    </xf>
    <xf numFmtId="0" fontId="4" fillId="0" borderId="70" xfId="3032" applyBorder="1" applyAlignment="1">
      <alignment horizontal="center"/>
    </xf>
    <xf numFmtId="0" fontId="4" fillId="0" borderId="34" xfId="3032" applyBorder="1" applyAlignment="1">
      <alignment horizontal="left" vertical="center"/>
    </xf>
    <xf numFmtId="0" fontId="4" fillId="0" borderId="35" xfId="3032" applyBorder="1" applyAlignment="1">
      <alignment horizontal="left" vertical="center"/>
    </xf>
    <xf numFmtId="0" fontId="4" fillId="0" borderId="68" xfId="3032" applyBorder="1" applyAlignment="1">
      <alignment horizontal="left" vertical="center"/>
    </xf>
    <xf numFmtId="4" fontId="6" fillId="28" borderId="0" xfId="3032" applyNumberFormat="1" applyFont="1" applyFill="1" applyAlignment="1">
      <alignment horizontal="center"/>
    </xf>
    <xf numFmtId="4" fontId="6" fillId="28" borderId="75" xfId="3032" applyNumberFormat="1" applyFont="1" applyFill="1" applyBorder="1" applyAlignment="1">
      <alignment horizontal="center"/>
    </xf>
    <xf numFmtId="0" fontId="4" fillId="0" borderId="91" xfId="3032" applyBorder="1" applyAlignment="1">
      <alignment horizontal="left" vertical="center"/>
    </xf>
    <xf numFmtId="0" fontId="4" fillId="0" borderId="9" xfId="3032" applyBorder="1" applyAlignment="1">
      <alignment horizontal="left" vertical="center"/>
    </xf>
    <xf numFmtId="0" fontId="82" fillId="28" borderId="104" xfId="3032" applyFont="1" applyFill="1" applyBorder="1" applyAlignment="1">
      <alignment horizontal="right" vertical="center"/>
    </xf>
    <xf numFmtId="0" fontId="82" fillId="28" borderId="106" xfId="3032" applyFont="1" applyFill="1" applyBorder="1" applyAlignment="1">
      <alignment horizontal="right" vertical="center"/>
    </xf>
    <xf numFmtId="0" fontId="82" fillId="28" borderId="104" xfId="3032" applyFont="1" applyFill="1" applyBorder="1" applyAlignment="1">
      <alignment horizontal="center" vertical="center"/>
    </xf>
    <xf numFmtId="0" fontId="82" fillId="28" borderId="105" xfId="3032" applyFont="1" applyFill="1" applyBorder="1" applyAlignment="1">
      <alignment horizontal="center" vertical="center"/>
    </xf>
    <xf numFmtId="0" fontId="80" fillId="25" borderId="108" xfId="3032" applyFont="1" applyFill="1" applyBorder="1" applyAlignment="1">
      <alignment horizontal="center" vertical="center" wrapText="1"/>
    </xf>
    <xf numFmtId="0" fontId="80" fillId="25" borderId="110" xfId="3032" applyFont="1" applyFill="1" applyBorder="1" applyAlignment="1">
      <alignment horizontal="center" vertical="center" wrapText="1"/>
    </xf>
    <xf numFmtId="0" fontId="80" fillId="25" borderId="8" xfId="3032" applyFont="1" applyFill="1" applyBorder="1" applyAlignment="1">
      <alignment horizontal="center" vertical="center" wrapText="1"/>
    </xf>
    <xf numFmtId="0" fontId="80" fillId="25" borderId="10" xfId="3032" applyFont="1" applyFill="1" applyBorder="1" applyAlignment="1">
      <alignment horizontal="center" vertical="center" wrapText="1"/>
    </xf>
    <xf numFmtId="0" fontId="81" fillId="28" borderId="34" xfId="0" applyFont="1" applyFill="1" applyBorder="1" applyAlignment="1">
      <alignment horizontal="center" vertical="center"/>
    </xf>
    <xf numFmtId="0" fontId="81" fillId="28" borderId="32" xfId="0" applyFont="1" applyFill="1" applyBorder="1" applyAlignment="1">
      <alignment horizontal="center" vertical="center"/>
    </xf>
    <xf numFmtId="0" fontId="81" fillId="0" borderId="34" xfId="0" applyFont="1" applyBorder="1" applyAlignment="1">
      <alignment horizontal="center" vertical="center"/>
    </xf>
    <xf numFmtId="0" fontId="81" fillId="0" borderId="32" xfId="0" applyFont="1" applyBorder="1" applyAlignment="1">
      <alignment horizontal="center" vertical="center"/>
    </xf>
    <xf numFmtId="0" fontId="80" fillId="25" borderId="108" xfId="3032" applyFont="1" applyFill="1" applyBorder="1" applyAlignment="1">
      <alignment horizontal="center" vertical="center"/>
    </xf>
    <xf numFmtId="0" fontId="80" fillId="25" borderId="109" xfId="3032" applyFont="1" applyFill="1" applyBorder="1" applyAlignment="1">
      <alignment horizontal="center" vertical="center"/>
    </xf>
    <xf numFmtId="0" fontId="80" fillId="25" borderId="110" xfId="3032" applyFont="1" applyFill="1" applyBorder="1" applyAlignment="1">
      <alignment horizontal="center" vertical="center"/>
    </xf>
    <xf numFmtId="0" fontId="80" fillId="25" borderId="8" xfId="3032" applyFont="1" applyFill="1" applyBorder="1" applyAlignment="1">
      <alignment horizontal="center" vertical="center"/>
    </xf>
    <xf numFmtId="0" fontId="80" fillId="25" borderId="9" xfId="3032" applyFont="1" applyFill="1" applyBorder="1" applyAlignment="1">
      <alignment horizontal="center" vertical="center"/>
    </xf>
    <xf numFmtId="0" fontId="80" fillId="25" borderId="10" xfId="3032" applyFont="1" applyFill="1" applyBorder="1" applyAlignment="1">
      <alignment horizontal="center" vertical="center"/>
    </xf>
    <xf numFmtId="195" fontId="28" fillId="25" borderId="106" xfId="430" applyNumberFormat="1" applyFont="1" applyFill="1" applyBorder="1" applyAlignment="1">
      <alignment horizontal="center" vertical="center" wrapText="1"/>
    </xf>
    <xf numFmtId="0" fontId="48" fillId="28" borderId="0" xfId="3032" applyFont="1" applyFill="1" applyAlignment="1">
      <alignment horizontal="center" vertical="center" wrapText="1"/>
    </xf>
    <xf numFmtId="0" fontId="64" fillId="28" borderId="0" xfId="3032" applyFont="1" applyFill="1" applyAlignment="1">
      <alignment horizontal="center" vertical="center" wrapText="1"/>
    </xf>
    <xf numFmtId="0" fontId="5" fillId="28" borderId="108" xfId="3032" applyFont="1" applyFill="1" applyBorder="1" applyAlignment="1">
      <alignment horizontal="center" vertical="center" wrapText="1"/>
    </xf>
    <xf numFmtId="0" fontId="5" fillId="28" borderId="109" xfId="3032" applyFont="1" applyFill="1" applyBorder="1" applyAlignment="1">
      <alignment horizontal="center" vertical="center" wrapText="1"/>
    </xf>
    <xf numFmtId="0" fontId="5" fillId="28" borderId="110" xfId="3032" applyFont="1" applyFill="1" applyBorder="1" applyAlignment="1">
      <alignment horizontal="center" vertical="center" wrapText="1"/>
    </xf>
    <xf numFmtId="0" fontId="5" fillId="28" borderId="121" xfId="3032" applyFont="1" applyFill="1" applyBorder="1" applyAlignment="1">
      <alignment horizontal="center" vertical="center" wrapText="1"/>
    </xf>
    <xf numFmtId="0" fontId="5" fillId="28" borderId="0" xfId="3032" applyFont="1" applyFill="1" applyAlignment="1">
      <alignment horizontal="center" vertical="center" wrapText="1"/>
    </xf>
    <xf numFmtId="0" fontId="5" fillId="28" borderId="122" xfId="3032" applyFont="1" applyFill="1" applyBorder="1" applyAlignment="1">
      <alignment horizontal="center" vertical="center" wrapText="1"/>
    </xf>
    <xf numFmtId="0" fontId="5" fillId="28" borderId="112" xfId="3032" applyFont="1" applyFill="1" applyBorder="1" applyAlignment="1">
      <alignment horizontal="center" vertical="center" wrapText="1"/>
    </xf>
    <xf numFmtId="0" fontId="5" fillId="28" borderId="8" xfId="3032" applyFont="1" applyFill="1" applyBorder="1" applyAlignment="1">
      <alignment horizontal="center" vertical="center" wrapText="1"/>
    </xf>
    <xf numFmtId="0" fontId="5" fillId="28" borderId="9" xfId="3032" applyFont="1" applyFill="1" applyBorder="1" applyAlignment="1">
      <alignment horizontal="center" vertical="center" wrapText="1"/>
    </xf>
    <xf numFmtId="0" fontId="5" fillId="28" borderId="10" xfId="3032" applyFont="1" applyFill="1" applyBorder="1" applyAlignment="1">
      <alignment horizontal="center" vertical="center" wrapText="1"/>
    </xf>
    <xf numFmtId="0" fontId="5" fillId="25" borderId="104" xfId="3032" applyFont="1" applyFill="1" applyBorder="1" applyAlignment="1">
      <alignment horizontal="center" vertical="center"/>
    </xf>
    <xf numFmtId="0" fontId="26" fillId="25" borderId="106" xfId="3032" applyFont="1" applyFill="1" applyBorder="1" applyAlignment="1">
      <alignment horizontal="center" vertical="center"/>
    </xf>
    <xf numFmtId="0" fontId="5" fillId="25" borderId="105" xfId="3032" applyFont="1" applyFill="1" applyBorder="1" applyAlignment="1">
      <alignment horizontal="center" vertical="center"/>
    </xf>
    <xf numFmtId="0" fontId="5" fillId="25" borderId="106" xfId="3032" applyFont="1" applyFill="1" applyBorder="1" applyAlignment="1">
      <alignment horizontal="center" vertical="center"/>
    </xf>
    <xf numFmtId="0" fontId="29" fillId="25" borderId="96" xfId="430" applyFont="1" applyFill="1" applyBorder="1" applyAlignment="1">
      <alignment horizontal="center" vertical="center"/>
    </xf>
    <xf numFmtId="0" fontId="27" fillId="28" borderId="109" xfId="3032" applyFont="1" applyFill="1" applyBorder="1" applyAlignment="1">
      <alignment horizontal="left" wrapText="1"/>
    </xf>
    <xf numFmtId="0" fontId="27" fillId="28" borderId="110" xfId="3032" applyFont="1" applyFill="1" applyBorder="1" applyAlignment="1">
      <alignment horizontal="left" wrapText="1"/>
    </xf>
    <xf numFmtId="186" fontId="69" fillId="28" borderId="0" xfId="3032" applyNumberFormat="1" applyFont="1" applyFill="1" applyAlignment="1">
      <alignment horizontal="left" vertical="center"/>
    </xf>
    <xf numFmtId="186" fontId="69" fillId="28" borderId="122" xfId="3032" applyNumberFormat="1" applyFont="1" applyFill="1" applyBorder="1" applyAlignment="1">
      <alignment horizontal="left" vertical="center"/>
    </xf>
    <xf numFmtId="4" fontId="60" fillId="25" borderId="96" xfId="3041" applyNumberFormat="1" applyFont="1" applyFill="1" applyBorder="1" applyAlignment="1" applyProtection="1">
      <alignment horizontal="center" vertical="center"/>
      <protection locked="0"/>
    </xf>
    <xf numFmtId="2" fontId="158" fillId="26" borderId="104" xfId="0" applyNumberFormat="1" applyFont="1" applyFill="1" applyBorder="1" applyAlignment="1">
      <alignment horizontal="center" vertical="center"/>
    </xf>
    <xf numFmtId="2" fontId="158" fillId="26" borderId="106" xfId="0" applyNumberFormat="1" applyFont="1" applyFill="1" applyBorder="1" applyAlignment="1">
      <alignment horizontal="center" vertical="center"/>
    </xf>
    <xf numFmtId="169" fontId="60" fillId="25" borderId="96" xfId="3041" applyNumberFormat="1" applyFont="1" applyFill="1" applyBorder="1" applyAlignment="1" applyProtection="1">
      <alignment horizontal="center" vertical="center"/>
      <protection locked="0"/>
    </xf>
    <xf numFmtId="208" fontId="48" fillId="25" borderId="96" xfId="3032" applyNumberFormat="1" applyFont="1" applyFill="1" applyBorder="1" applyAlignment="1">
      <alignment horizontal="center" vertical="center"/>
    </xf>
    <xf numFmtId="0" fontId="26" fillId="29" borderId="71" xfId="3044" applyFont="1" applyFill="1" applyBorder="1" applyAlignment="1">
      <alignment horizontal="left" vertical="center" wrapText="1"/>
    </xf>
    <xf numFmtId="0" fontId="26" fillId="29" borderId="69" xfId="3044" applyFont="1" applyFill="1" applyBorder="1" applyAlignment="1">
      <alignment horizontal="left" vertical="center" wrapText="1"/>
    </xf>
    <xf numFmtId="0" fontId="26" fillId="29" borderId="116" xfId="3044" applyFont="1" applyFill="1" applyBorder="1" applyAlignment="1">
      <alignment horizontal="left" vertical="center" wrapText="1"/>
    </xf>
    <xf numFmtId="0" fontId="60" fillId="25" borderId="96" xfId="0" applyFont="1" applyFill="1" applyBorder="1" applyAlignment="1">
      <alignment horizontal="center" vertical="center"/>
    </xf>
    <xf numFmtId="0" fontId="60" fillId="25" borderId="96" xfId="3041" applyFont="1" applyFill="1" applyBorder="1" applyAlignment="1" applyProtection="1">
      <alignment horizontal="center" vertical="center"/>
      <protection locked="0"/>
    </xf>
    <xf numFmtId="0" fontId="28" fillId="28" borderId="107" xfId="3032" applyFont="1" applyFill="1" applyBorder="1" applyAlignment="1">
      <alignment horizontal="center" vertical="center" wrapText="1"/>
    </xf>
    <xf numFmtId="0" fontId="28" fillId="28" borderId="13" xfId="3032" applyFont="1" applyFill="1" applyBorder="1" applyAlignment="1">
      <alignment horizontal="center" vertical="center" wrapText="1"/>
    </xf>
    <xf numFmtId="14" fontId="3" fillId="28" borderId="34" xfId="3032" applyNumberFormat="1" applyFont="1" applyFill="1" applyBorder="1" applyAlignment="1">
      <alignment horizontal="center" vertical="center" wrapText="1"/>
    </xf>
    <xf numFmtId="14" fontId="3" fillId="28" borderId="35" xfId="3032" applyNumberFormat="1" applyFont="1" applyFill="1" applyBorder="1" applyAlignment="1">
      <alignment horizontal="center" vertical="center" wrapText="1"/>
    </xf>
    <xf numFmtId="14" fontId="3" fillId="28" borderId="32" xfId="3032" applyNumberFormat="1" applyFont="1" applyFill="1" applyBorder="1" applyAlignment="1">
      <alignment horizontal="center" vertical="center" wrapText="1"/>
    </xf>
    <xf numFmtId="1" fontId="28" fillId="28" borderId="107" xfId="3032" applyNumberFormat="1" applyFont="1" applyFill="1" applyBorder="1" applyAlignment="1">
      <alignment horizontal="left" vertical="center" wrapText="1"/>
    </xf>
    <xf numFmtId="1" fontId="28" fillId="28" borderId="13" xfId="3032" applyNumberFormat="1" applyFont="1" applyFill="1" applyBorder="1" applyAlignment="1">
      <alignment horizontal="left" vertical="center" wrapText="1"/>
    </xf>
    <xf numFmtId="1" fontId="28" fillId="28" borderId="107" xfId="3032" applyNumberFormat="1" applyFont="1" applyFill="1" applyBorder="1" applyAlignment="1">
      <alignment horizontal="center" vertical="center" wrapText="1"/>
    </xf>
    <xf numFmtId="1" fontId="28" fillId="28" borderId="13" xfId="3032" applyNumberFormat="1" applyFont="1" applyFill="1" applyBorder="1" applyAlignment="1">
      <alignment horizontal="center" vertical="center" wrapText="1"/>
    </xf>
    <xf numFmtId="169" fontId="28" fillId="28" borderId="107" xfId="3032" applyNumberFormat="1" applyFont="1" applyFill="1" applyBorder="1" applyAlignment="1">
      <alignment horizontal="center" vertical="center" wrapText="1"/>
    </xf>
    <xf numFmtId="169" fontId="28" fillId="28" borderId="92" xfId="3032" applyNumberFormat="1" applyFont="1" applyFill="1" applyBorder="1" applyAlignment="1">
      <alignment horizontal="center" vertical="center" wrapText="1"/>
    </xf>
    <xf numFmtId="0" fontId="28" fillId="28" borderId="92" xfId="3032" applyFont="1" applyFill="1" applyBorder="1" applyAlignment="1">
      <alignment horizontal="center" vertical="center" wrapText="1"/>
    </xf>
    <xf numFmtId="0" fontId="28" fillId="28" borderId="107" xfId="3032" applyFont="1" applyFill="1" applyBorder="1" applyAlignment="1">
      <alignment horizontal="center" vertical="distributed" wrapText="1"/>
    </xf>
    <xf numFmtId="0" fontId="28" fillId="28" borderId="92" xfId="3032" applyFont="1" applyFill="1" applyBorder="1" applyAlignment="1">
      <alignment horizontal="center" vertical="distributed" wrapText="1"/>
    </xf>
    <xf numFmtId="0" fontId="28" fillId="28" borderId="104" xfId="3032" applyFont="1" applyFill="1" applyBorder="1" applyAlignment="1">
      <alignment horizontal="center" vertical="center" wrapText="1"/>
    </xf>
    <xf numFmtId="0" fontId="28" fillId="28" borderId="106" xfId="3032" applyFont="1" applyFill="1" applyBorder="1" applyAlignment="1">
      <alignment horizontal="center" vertical="center" wrapText="1"/>
    </xf>
    <xf numFmtId="0" fontId="28" fillId="28" borderId="105" xfId="3032" applyFont="1" applyFill="1" applyBorder="1" applyAlignment="1">
      <alignment horizontal="center" vertical="center" wrapText="1"/>
    </xf>
    <xf numFmtId="0" fontId="28" fillId="28" borderId="104" xfId="3032" applyFont="1" applyFill="1" applyBorder="1" applyAlignment="1">
      <alignment horizontal="center" vertical="distributed" wrapText="1"/>
    </xf>
    <xf numFmtId="0" fontId="28" fillId="28" borderId="106" xfId="3032" applyFont="1" applyFill="1" applyBorder="1" applyAlignment="1">
      <alignment horizontal="center" vertical="distributed" wrapText="1"/>
    </xf>
    <xf numFmtId="0" fontId="28" fillId="28" borderId="105" xfId="3032" applyFont="1" applyFill="1" applyBorder="1" applyAlignment="1">
      <alignment horizontal="center" vertical="distributed" wrapText="1"/>
    </xf>
    <xf numFmtId="0" fontId="151" fillId="29" borderId="104" xfId="0" applyFont="1" applyFill="1" applyBorder="1" applyAlignment="1">
      <alignment horizontal="right" vertical="center" wrapText="1"/>
    </xf>
    <xf numFmtId="0" fontId="151" fillId="29" borderId="106" xfId="0" applyFont="1" applyFill="1" applyBorder="1" applyAlignment="1">
      <alignment horizontal="right" vertical="center" wrapText="1"/>
    </xf>
    <xf numFmtId="0" fontId="151" fillId="29" borderId="105" xfId="0" applyFont="1" applyFill="1" applyBorder="1" applyAlignment="1">
      <alignment horizontal="right" vertical="center" wrapText="1"/>
    </xf>
    <xf numFmtId="4" fontId="151" fillId="29" borderId="104" xfId="3032" applyNumberFormat="1" applyFont="1" applyFill="1" applyBorder="1" applyAlignment="1">
      <alignment horizontal="right" vertical="center" wrapText="1"/>
    </xf>
    <xf numFmtId="4" fontId="151" fillId="29" borderId="105" xfId="3032" applyNumberFormat="1" applyFont="1" applyFill="1" applyBorder="1" applyAlignment="1">
      <alignment horizontal="right" vertical="center" wrapText="1"/>
    </xf>
    <xf numFmtId="0" fontId="151" fillId="29" borderId="104" xfId="3032" applyFont="1" applyFill="1" applyBorder="1" applyAlignment="1">
      <alignment horizontal="right" vertical="center" wrapText="1"/>
    </xf>
    <xf numFmtId="0" fontId="151" fillId="29" borderId="106" xfId="3032" applyFont="1" applyFill="1" applyBorder="1" applyAlignment="1">
      <alignment horizontal="right" vertical="center" wrapText="1"/>
    </xf>
    <xf numFmtId="0" fontId="151" fillId="29" borderId="105" xfId="3032" applyFont="1" applyFill="1" applyBorder="1" applyAlignment="1">
      <alignment horizontal="right" vertical="center" wrapText="1"/>
    </xf>
    <xf numFmtId="0" fontId="151" fillId="29" borderId="108" xfId="0" applyFont="1" applyFill="1" applyBorder="1" applyAlignment="1">
      <alignment horizontal="right" vertical="center" wrapText="1"/>
    </xf>
    <xf numFmtId="0" fontId="151" fillId="29" borderId="109" xfId="0" applyFont="1" applyFill="1" applyBorder="1" applyAlignment="1">
      <alignment horizontal="right" vertical="center" wrapText="1"/>
    </xf>
    <xf numFmtId="0" fontId="151" fillId="29" borderId="110" xfId="0" applyFont="1" applyFill="1" applyBorder="1" applyAlignment="1">
      <alignment horizontal="right" vertical="center" wrapText="1"/>
    </xf>
    <xf numFmtId="0" fontId="151" fillId="29" borderId="121" xfId="0" applyFont="1" applyFill="1" applyBorder="1" applyAlignment="1">
      <alignment horizontal="right" vertical="center" wrapText="1"/>
    </xf>
    <xf numFmtId="0" fontId="151" fillId="29" borderId="0" xfId="0" applyFont="1" applyFill="1" applyAlignment="1">
      <alignment horizontal="right" vertical="center" wrapText="1"/>
    </xf>
    <xf numFmtId="0" fontId="151" fillId="29" borderId="122" xfId="0" applyFont="1" applyFill="1" applyBorder="1" applyAlignment="1">
      <alignment horizontal="right" vertical="center" wrapText="1"/>
    </xf>
    <xf numFmtId="10" fontId="151" fillId="29" borderId="108" xfId="3032" applyNumberFormat="1" applyFont="1" applyFill="1" applyBorder="1" applyAlignment="1">
      <alignment horizontal="right" vertical="center" wrapText="1"/>
    </xf>
    <xf numFmtId="10" fontId="151" fillId="29" borderId="110" xfId="3032" applyNumberFormat="1" applyFont="1" applyFill="1" applyBorder="1" applyAlignment="1">
      <alignment horizontal="right" vertical="center" wrapText="1"/>
    </xf>
    <xf numFmtId="10" fontId="151" fillId="29" borderId="121" xfId="3032" applyNumberFormat="1" applyFont="1" applyFill="1" applyBorder="1" applyAlignment="1">
      <alignment horizontal="right" vertical="center" wrapText="1"/>
    </xf>
    <xf numFmtId="10" fontId="151" fillId="29" borderId="122" xfId="3032" applyNumberFormat="1" applyFont="1" applyFill="1" applyBorder="1" applyAlignment="1">
      <alignment horizontal="right" vertical="center" wrapText="1"/>
    </xf>
    <xf numFmtId="171" fontId="151" fillId="29" borderId="107" xfId="3032" applyNumberFormat="1" applyFont="1" applyFill="1" applyBorder="1" applyAlignment="1">
      <alignment horizontal="center" vertical="center" wrapText="1"/>
    </xf>
    <xf numFmtId="171" fontId="151" fillId="29" borderId="126" xfId="3032" applyNumberFormat="1" applyFont="1" applyFill="1" applyBorder="1" applyAlignment="1">
      <alignment horizontal="center" vertical="center" wrapText="1"/>
    </xf>
    <xf numFmtId="0" fontId="151" fillId="29" borderId="108" xfId="3032" applyFont="1" applyFill="1" applyBorder="1" applyAlignment="1">
      <alignment horizontal="right" vertical="center" wrapText="1"/>
    </xf>
    <xf numFmtId="0" fontId="151" fillId="29" borderId="109" xfId="3032" applyFont="1" applyFill="1" applyBorder="1" applyAlignment="1">
      <alignment horizontal="right" vertical="center" wrapText="1"/>
    </xf>
    <xf numFmtId="0" fontId="151" fillId="29" borderId="110" xfId="3032" applyFont="1" applyFill="1" applyBorder="1" applyAlignment="1">
      <alignment horizontal="right" vertical="center" wrapText="1"/>
    </xf>
    <xf numFmtId="0" fontId="151" fillId="29" borderId="8" xfId="0" applyFont="1" applyFill="1" applyBorder="1" applyAlignment="1">
      <alignment horizontal="right" vertical="center" wrapText="1"/>
    </xf>
    <xf numFmtId="0" fontId="151" fillId="29" borderId="93" xfId="0" applyFont="1" applyFill="1" applyBorder="1" applyAlignment="1">
      <alignment horizontal="right" vertical="center" wrapText="1"/>
    </xf>
    <xf numFmtId="0" fontId="151" fillId="29" borderId="10" xfId="0" applyFont="1" applyFill="1" applyBorder="1" applyAlignment="1">
      <alignment horizontal="right" vertical="center" wrapText="1"/>
    </xf>
    <xf numFmtId="4" fontId="151" fillId="29" borderId="8" xfId="3032" applyNumberFormat="1" applyFont="1" applyFill="1" applyBorder="1" applyAlignment="1">
      <alignment horizontal="right" vertical="center" wrapText="1"/>
    </xf>
    <xf numFmtId="4" fontId="151" fillId="29" borderId="10" xfId="3032" applyNumberFormat="1" applyFont="1" applyFill="1" applyBorder="1" applyAlignment="1">
      <alignment horizontal="right" vertical="center" wrapText="1"/>
    </xf>
    <xf numFmtId="0" fontId="151" fillId="29" borderId="8" xfId="3032" applyFont="1" applyFill="1" applyBorder="1" applyAlignment="1">
      <alignment horizontal="right" vertical="center" wrapText="1"/>
    </xf>
    <xf numFmtId="0" fontId="151" fillId="29" borderId="93" xfId="3032" applyFont="1" applyFill="1" applyBorder="1" applyAlignment="1">
      <alignment horizontal="right" vertical="center" wrapText="1"/>
    </xf>
    <xf numFmtId="0" fontId="151" fillId="29" borderId="10" xfId="3032" applyFont="1" applyFill="1" applyBorder="1" applyAlignment="1">
      <alignment horizontal="right" vertical="center" wrapText="1"/>
    </xf>
    <xf numFmtId="0" fontId="151" fillId="29" borderId="9" xfId="0" applyFont="1" applyFill="1" applyBorder="1" applyAlignment="1">
      <alignment horizontal="right" vertical="center" wrapText="1"/>
    </xf>
    <xf numFmtId="10" fontId="151" fillId="29" borderId="8" xfId="3032" applyNumberFormat="1" applyFont="1" applyFill="1" applyBorder="1" applyAlignment="1">
      <alignment horizontal="right" vertical="center" wrapText="1"/>
    </xf>
    <xf numFmtId="10" fontId="151" fillId="29" borderId="10" xfId="3032" applyNumberFormat="1" applyFont="1" applyFill="1" applyBorder="1" applyAlignment="1">
      <alignment horizontal="right" vertical="center" wrapText="1"/>
    </xf>
    <xf numFmtId="171" fontId="151" fillId="29" borderId="13" xfId="3032" applyNumberFormat="1" applyFont="1" applyFill="1" applyBorder="1" applyAlignment="1">
      <alignment horizontal="center" vertical="center" wrapText="1"/>
    </xf>
    <xf numFmtId="1" fontId="28" fillId="28" borderId="92" xfId="3032" applyNumberFormat="1" applyFont="1" applyFill="1" applyBorder="1" applyAlignment="1">
      <alignment horizontal="center" vertical="center" wrapText="1"/>
    </xf>
    <xf numFmtId="1" fontId="28" fillId="28" borderId="92" xfId="3032" applyNumberFormat="1" applyFont="1" applyFill="1" applyBorder="1" applyAlignment="1">
      <alignment horizontal="left" vertical="center" wrapText="1"/>
    </xf>
    <xf numFmtId="169" fontId="28" fillId="28" borderId="13" xfId="3032" applyNumberFormat="1" applyFont="1" applyFill="1" applyBorder="1" applyAlignment="1">
      <alignment horizontal="center" vertical="center" wrapText="1"/>
    </xf>
    <xf numFmtId="0" fontId="28" fillId="28" borderId="13" xfId="3032" applyFont="1" applyFill="1" applyBorder="1" applyAlignment="1">
      <alignment horizontal="center" vertical="distributed" wrapText="1"/>
    </xf>
    <xf numFmtId="0" fontId="151" fillId="29" borderId="95" xfId="0" applyFont="1" applyFill="1" applyBorder="1" applyAlignment="1">
      <alignment horizontal="right" vertical="center" wrapText="1"/>
    </xf>
    <xf numFmtId="0" fontId="151" fillId="29" borderId="94" xfId="0" applyFont="1" applyFill="1" applyBorder="1" applyAlignment="1">
      <alignment horizontal="right" vertical="center" wrapText="1"/>
    </xf>
    <xf numFmtId="10" fontId="151" fillId="29" borderId="95" xfId="3032" applyNumberFormat="1" applyFont="1" applyFill="1" applyBorder="1" applyAlignment="1">
      <alignment horizontal="right" vertical="center" wrapText="1"/>
    </xf>
    <xf numFmtId="10" fontId="151" fillId="29" borderId="94" xfId="3032" applyNumberFormat="1" applyFont="1" applyFill="1" applyBorder="1" applyAlignment="1">
      <alignment horizontal="right" vertical="center" wrapText="1"/>
    </xf>
    <xf numFmtId="0" fontId="28" fillId="28" borderId="104" xfId="430" applyFont="1" applyFill="1" applyBorder="1" applyAlignment="1">
      <alignment horizontal="center" vertical="center" wrapText="1"/>
    </xf>
    <xf numFmtId="0" fontId="28" fillId="28" borderId="106" xfId="430" applyFont="1" applyFill="1" applyBorder="1" applyAlignment="1">
      <alignment horizontal="center" vertical="center" wrapText="1"/>
    </xf>
    <xf numFmtId="0" fontId="28" fillId="28" borderId="105" xfId="430" applyFont="1" applyFill="1" applyBorder="1" applyAlignment="1">
      <alignment horizontal="center" vertical="center" wrapText="1"/>
    </xf>
    <xf numFmtId="0" fontId="160" fillId="47" borderId="82" xfId="5879" applyFont="1" applyFill="1" applyBorder="1" applyAlignment="1">
      <alignment horizontal="center" vertical="center" wrapText="1"/>
    </xf>
    <xf numFmtId="171" fontId="151" fillId="29" borderId="92" xfId="3032" applyNumberFormat="1" applyFont="1" applyFill="1" applyBorder="1" applyAlignment="1">
      <alignment horizontal="center" vertical="center" wrapText="1"/>
    </xf>
    <xf numFmtId="4" fontId="151" fillId="29" borderId="95" xfId="3032" applyNumberFormat="1" applyFont="1" applyFill="1" applyBorder="1" applyAlignment="1">
      <alignment horizontal="right" vertical="center" wrapText="1"/>
    </xf>
    <xf numFmtId="4" fontId="151" fillId="29" borderId="94" xfId="3032" applyNumberFormat="1" applyFont="1" applyFill="1" applyBorder="1" applyAlignment="1">
      <alignment horizontal="right" vertical="center" wrapText="1"/>
    </xf>
    <xf numFmtId="0" fontId="151" fillId="29" borderId="95" xfId="3032" applyFont="1" applyFill="1" applyBorder="1" applyAlignment="1">
      <alignment horizontal="right" vertical="center" wrapText="1"/>
    </xf>
    <xf numFmtId="0" fontId="151" fillId="29" borderId="94" xfId="3032" applyFont="1" applyFill="1" applyBorder="1" applyAlignment="1">
      <alignment horizontal="right" vertical="center" wrapText="1"/>
    </xf>
    <xf numFmtId="0" fontId="28" fillId="28" borderId="126" xfId="3032" applyFont="1" applyFill="1" applyBorder="1" applyAlignment="1">
      <alignment horizontal="center" vertical="center" wrapText="1"/>
    </xf>
    <xf numFmtId="0" fontId="28" fillId="0" borderId="107" xfId="3032" applyFont="1" applyBorder="1" applyAlignment="1">
      <alignment horizontal="center" vertical="center" wrapText="1"/>
    </xf>
    <xf numFmtId="0" fontId="28" fillId="0" borderId="126" xfId="3032" applyFont="1" applyBorder="1" applyAlignment="1">
      <alignment horizontal="center" vertical="center" wrapText="1"/>
    </xf>
    <xf numFmtId="169" fontId="28" fillId="28" borderId="126" xfId="3032" applyNumberFormat="1" applyFont="1" applyFill="1" applyBorder="1" applyAlignment="1">
      <alignment horizontal="center" vertical="center" wrapText="1"/>
    </xf>
    <xf numFmtId="1" fontId="3" fillId="25" borderId="106" xfId="0" applyNumberFormat="1" applyFont="1" applyFill="1" applyBorder="1" applyAlignment="1">
      <alignment vertical="center"/>
    </xf>
    <xf numFmtId="0" fontId="3" fillId="25" borderId="106" xfId="0" applyFont="1" applyFill="1" applyBorder="1" applyAlignment="1">
      <alignment vertical="center"/>
    </xf>
    <xf numFmtId="0" fontId="28" fillId="0" borderId="13" xfId="3032" applyFont="1" applyBorder="1" applyAlignment="1">
      <alignment horizontal="center" vertical="center" wrapText="1"/>
    </xf>
    <xf numFmtId="0" fontId="151" fillId="29" borderId="59" xfId="0" applyFont="1" applyFill="1" applyBorder="1" applyAlignment="1">
      <alignment horizontal="right" vertical="center" wrapText="1"/>
    </xf>
    <xf numFmtId="0" fontId="151" fillId="29" borderId="76" xfId="0" applyFont="1" applyFill="1" applyBorder="1" applyAlignment="1">
      <alignment horizontal="right" vertical="center" wrapText="1"/>
    </xf>
    <xf numFmtId="0" fontId="151" fillId="29" borderId="70" xfId="0" applyFont="1" applyFill="1" applyBorder="1" applyAlignment="1">
      <alignment horizontal="right" vertical="center" wrapText="1"/>
    </xf>
    <xf numFmtId="4" fontId="151" fillId="29" borderId="59" xfId="3032" applyNumberFormat="1" applyFont="1" applyFill="1" applyBorder="1" applyAlignment="1">
      <alignment horizontal="right" vertical="center" wrapText="1"/>
    </xf>
    <xf numFmtId="4" fontId="151" fillId="29" borderId="70" xfId="3032" applyNumberFormat="1" applyFont="1" applyFill="1" applyBorder="1" applyAlignment="1">
      <alignment horizontal="right" vertical="center" wrapText="1"/>
    </xf>
    <xf numFmtId="0" fontId="151" fillId="29" borderId="59" xfId="3032" applyFont="1" applyFill="1" applyBorder="1" applyAlignment="1">
      <alignment horizontal="right" vertical="center" wrapText="1"/>
    </xf>
    <xf numFmtId="0" fontId="151" fillId="29" borderId="76" xfId="3032" applyFont="1" applyFill="1" applyBorder="1" applyAlignment="1">
      <alignment horizontal="right" vertical="center" wrapText="1"/>
    </xf>
    <xf numFmtId="0" fontId="151" fillId="29" borderId="70" xfId="3032" applyFont="1" applyFill="1" applyBorder="1" applyAlignment="1">
      <alignment horizontal="right" vertical="center" wrapText="1"/>
    </xf>
    <xf numFmtId="14" fontId="3" fillId="28" borderId="31" xfId="3032" applyNumberFormat="1" applyFont="1" applyFill="1" applyBorder="1" applyAlignment="1">
      <alignment horizontal="center" vertical="center" wrapText="1"/>
    </xf>
    <xf numFmtId="14" fontId="3" fillId="28" borderId="39" xfId="3032" applyNumberFormat="1" applyFont="1" applyFill="1" applyBorder="1" applyAlignment="1">
      <alignment horizontal="center" vertical="center" wrapText="1"/>
    </xf>
    <xf numFmtId="14" fontId="3" fillId="28" borderId="29" xfId="3032" applyNumberFormat="1" applyFont="1" applyFill="1" applyBorder="1" applyAlignment="1">
      <alignment horizontal="center" vertical="center" wrapText="1"/>
    </xf>
    <xf numFmtId="14" fontId="3" fillId="28" borderId="38" xfId="3032" applyNumberFormat="1" applyFont="1" applyFill="1" applyBorder="1" applyAlignment="1">
      <alignment horizontal="center" vertical="center" wrapText="1"/>
    </xf>
    <xf numFmtId="14" fontId="3" fillId="28" borderId="44" xfId="3032" applyNumberFormat="1" applyFont="1" applyFill="1" applyBorder="1" applyAlignment="1">
      <alignment horizontal="center" vertical="center" wrapText="1"/>
    </xf>
    <xf numFmtId="14" fontId="3" fillId="28" borderId="36" xfId="3032" applyNumberFormat="1" applyFont="1" applyFill="1" applyBorder="1" applyAlignment="1">
      <alignment horizontal="center" vertical="center" wrapText="1"/>
    </xf>
    <xf numFmtId="14" fontId="75" fillId="28" borderId="43" xfId="3032" applyNumberFormat="1" applyFont="1" applyFill="1" applyBorder="1" applyAlignment="1">
      <alignment horizontal="center" vertical="center" wrapText="1"/>
    </xf>
    <xf numFmtId="14" fontId="75" fillId="28" borderId="41" xfId="3032" applyNumberFormat="1" applyFont="1" applyFill="1" applyBorder="1" applyAlignment="1">
      <alignment horizontal="center" vertical="center" wrapText="1"/>
    </xf>
    <xf numFmtId="14" fontId="75" fillId="28" borderId="42" xfId="3032" applyNumberFormat="1" applyFont="1" applyFill="1" applyBorder="1" applyAlignment="1">
      <alignment horizontal="center" vertical="center" wrapText="1"/>
    </xf>
    <xf numFmtId="14" fontId="90" fillId="28" borderId="38" xfId="3032" applyNumberFormat="1" applyFont="1" applyFill="1" applyBorder="1" applyAlignment="1">
      <alignment horizontal="center" vertical="center" wrapText="1"/>
    </xf>
    <xf numFmtId="14" fontId="90" fillId="28" borderId="44" xfId="3032" applyNumberFormat="1" applyFont="1" applyFill="1" applyBorder="1" applyAlignment="1">
      <alignment horizontal="center" vertical="center" wrapText="1"/>
    </xf>
    <xf numFmtId="14" fontId="90" fillId="28" borderId="36" xfId="3032" applyNumberFormat="1" applyFont="1" applyFill="1" applyBorder="1" applyAlignment="1">
      <alignment horizontal="center" vertical="center" wrapText="1"/>
    </xf>
    <xf numFmtId="0" fontId="152" fillId="29" borderId="108" xfId="0" applyFont="1" applyFill="1" applyBorder="1" applyAlignment="1">
      <alignment horizontal="right" vertical="center" wrapText="1"/>
    </xf>
    <xf numFmtId="0" fontId="152" fillId="29" borderId="109" xfId="0" applyFont="1" applyFill="1" applyBorder="1" applyAlignment="1">
      <alignment horizontal="right" vertical="center" wrapText="1"/>
    </xf>
    <xf numFmtId="0" fontId="152" fillId="29" borderId="110" xfId="0" applyFont="1" applyFill="1" applyBorder="1" applyAlignment="1">
      <alignment horizontal="right" vertical="center" wrapText="1"/>
    </xf>
    <xf numFmtId="0" fontId="152" fillId="29" borderId="95" xfId="0" applyFont="1" applyFill="1" applyBorder="1" applyAlignment="1">
      <alignment horizontal="right" vertical="center" wrapText="1"/>
    </xf>
    <xf numFmtId="0" fontId="152" fillId="29" borderId="93" xfId="0" applyFont="1" applyFill="1" applyBorder="1" applyAlignment="1">
      <alignment horizontal="right" vertical="center" wrapText="1"/>
    </xf>
    <xf numFmtId="0" fontId="152" fillId="29" borderId="94" xfId="0" applyFont="1" applyFill="1" applyBorder="1" applyAlignment="1">
      <alignment horizontal="right" vertical="center" wrapText="1"/>
    </xf>
    <xf numFmtId="10" fontId="152" fillId="29" borderId="108" xfId="3032" applyNumberFormat="1" applyFont="1" applyFill="1" applyBorder="1" applyAlignment="1">
      <alignment horizontal="right" vertical="center" wrapText="1"/>
    </xf>
    <xf numFmtId="10" fontId="152" fillId="29" borderId="110" xfId="3032" applyNumberFormat="1" applyFont="1" applyFill="1" applyBorder="1" applyAlignment="1">
      <alignment horizontal="right" vertical="center" wrapText="1"/>
    </xf>
    <xf numFmtId="10" fontId="152" fillId="29" borderId="95" xfId="3032" applyNumberFormat="1" applyFont="1" applyFill="1" applyBorder="1" applyAlignment="1">
      <alignment horizontal="right" vertical="center" wrapText="1"/>
    </xf>
    <xf numFmtId="10" fontId="152" fillId="29" borderId="94" xfId="3032" applyNumberFormat="1" applyFont="1" applyFill="1" applyBorder="1" applyAlignment="1">
      <alignment horizontal="right" vertical="center" wrapText="1"/>
    </xf>
    <xf numFmtId="171" fontId="152" fillId="29" borderId="107" xfId="3032" applyNumberFormat="1" applyFont="1" applyFill="1" applyBorder="1" applyAlignment="1">
      <alignment horizontal="center" vertical="center" wrapText="1"/>
    </xf>
    <xf numFmtId="171" fontId="152" fillId="29" borderId="92" xfId="3032" applyNumberFormat="1" applyFont="1" applyFill="1" applyBorder="1" applyAlignment="1">
      <alignment horizontal="center" vertical="center" wrapText="1"/>
    </xf>
    <xf numFmtId="0" fontId="152" fillId="29" borderId="104" xfId="3032" applyFont="1" applyFill="1" applyBorder="1" applyAlignment="1">
      <alignment horizontal="right" vertical="center" wrapText="1"/>
    </xf>
    <xf numFmtId="0" fontId="152" fillId="29" borderId="106" xfId="3032" applyFont="1" applyFill="1" applyBorder="1" applyAlignment="1">
      <alignment horizontal="right" vertical="center" wrapText="1"/>
    </xf>
    <xf numFmtId="0" fontId="152" fillId="29" borderId="105" xfId="3032" applyFont="1" applyFill="1" applyBorder="1" applyAlignment="1">
      <alignment horizontal="right" vertical="center" wrapText="1"/>
    </xf>
    <xf numFmtId="4" fontId="152" fillId="29" borderId="95" xfId="3032" applyNumberFormat="1" applyFont="1" applyFill="1" applyBorder="1" applyAlignment="1">
      <alignment horizontal="right" vertical="center" wrapText="1"/>
    </xf>
    <xf numFmtId="4" fontId="152" fillId="29" borderId="94" xfId="3032" applyNumberFormat="1" applyFont="1" applyFill="1" applyBorder="1" applyAlignment="1">
      <alignment horizontal="right" vertical="center" wrapText="1"/>
    </xf>
    <xf numFmtId="0" fontId="152" fillId="29" borderId="95" xfId="3032" applyFont="1" applyFill="1" applyBorder="1" applyAlignment="1">
      <alignment horizontal="right" vertical="center" wrapText="1"/>
    </xf>
    <xf numFmtId="0" fontId="152" fillId="29" borderId="93" xfId="3032" applyFont="1" applyFill="1" applyBorder="1" applyAlignment="1">
      <alignment horizontal="right" vertical="center" wrapText="1"/>
    </xf>
    <xf numFmtId="0" fontId="152" fillId="29" borderId="94" xfId="3032" applyFont="1" applyFill="1" applyBorder="1" applyAlignment="1">
      <alignment horizontal="right" vertical="center" wrapText="1"/>
    </xf>
    <xf numFmtId="1" fontId="53" fillId="28" borderId="107" xfId="3032" applyNumberFormat="1" applyFont="1" applyFill="1" applyBorder="1" applyAlignment="1">
      <alignment horizontal="left" vertical="center" wrapText="1"/>
    </xf>
    <xf numFmtId="1" fontId="53" fillId="28" borderId="92" xfId="3032" applyNumberFormat="1" applyFont="1" applyFill="1" applyBorder="1" applyAlignment="1">
      <alignment horizontal="left" vertical="center" wrapText="1"/>
    </xf>
    <xf numFmtId="0" fontId="53" fillId="28" borderId="104" xfId="430" applyFont="1" applyFill="1" applyBorder="1" applyAlignment="1">
      <alignment horizontal="center" vertical="center" wrapText="1"/>
    </xf>
    <xf numFmtId="0" fontId="53" fillId="28" borderId="106" xfId="430" applyFont="1" applyFill="1" applyBorder="1" applyAlignment="1">
      <alignment horizontal="center" vertical="center" wrapText="1"/>
    </xf>
    <xf numFmtId="0" fontId="53" fillId="28" borderId="105" xfId="430" applyFont="1" applyFill="1" applyBorder="1" applyAlignment="1">
      <alignment horizontal="center" vertical="center" wrapText="1"/>
    </xf>
    <xf numFmtId="0" fontId="53" fillId="28" borderId="107" xfId="3032" applyFont="1" applyFill="1" applyBorder="1" applyAlignment="1">
      <alignment horizontal="center" vertical="center" wrapText="1"/>
    </xf>
    <xf numFmtId="0" fontId="53" fillId="28" borderId="92" xfId="3032" applyFont="1" applyFill="1" applyBorder="1" applyAlignment="1">
      <alignment horizontal="center" vertical="center" wrapText="1"/>
    </xf>
    <xf numFmtId="0" fontId="53" fillId="28" borderId="104" xfId="3032" applyFont="1" applyFill="1" applyBorder="1" applyAlignment="1">
      <alignment horizontal="center" vertical="center" wrapText="1"/>
    </xf>
    <xf numFmtId="0" fontId="53" fillId="28" borderId="106" xfId="3032" applyFont="1" applyFill="1" applyBorder="1" applyAlignment="1">
      <alignment horizontal="center" vertical="center" wrapText="1"/>
    </xf>
    <xf numFmtId="0" fontId="53" fillId="28" borderId="105" xfId="3032" applyFont="1" applyFill="1" applyBorder="1" applyAlignment="1">
      <alignment horizontal="center" vertical="center" wrapText="1"/>
    </xf>
    <xf numFmtId="0" fontId="53" fillId="28" borderId="104" xfId="3032" applyFont="1" applyFill="1" applyBorder="1" applyAlignment="1">
      <alignment horizontal="center" vertical="distributed" wrapText="1"/>
    </xf>
    <xf numFmtId="0" fontId="53" fillId="28" borderId="106" xfId="3032" applyFont="1" applyFill="1" applyBorder="1" applyAlignment="1">
      <alignment horizontal="center" vertical="distributed" wrapText="1"/>
    </xf>
    <xf numFmtId="0" fontId="53" fillId="28" borderId="105" xfId="3032" applyFont="1" applyFill="1" applyBorder="1" applyAlignment="1">
      <alignment horizontal="center" vertical="distributed" wrapText="1"/>
    </xf>
    <xf numFmtId="14" fontId="3" fillId="28" borderId="47" xfId="3032" applyNumberFormat="1" applyFont="1" applyFill="1" applyBorder="1" applyAlignment="1">
      <alignment horizontal="center" vertical="center" wrapText="1"/>
    </xf>
    <xf numFmtId="14" fontId="3" fillId="28" borderId="28" xfId="3032" applyNumberFormat="1" applyFont="1" applyFill="1" applyBorder="1" applyAlignment="1">
      <alignment horizontal="center" vertical="center" wrapText="1"/>
    </xf>
    <xf numFmtId="14" fontId="3" fillId="28" borderId="46" xfId="3032" applyNumberFormat="1" applyFont="1" applyFill="1" applyBorder="1" applyAlignment="1">
      <alignment horizontal="center" vertical="center" wrapText="1"/>
    </xf>
    <xf numFmtId="1" fontId="3" fillId="26" borderId="106" xfId="0" applyNumberFormat="1" applyFont="1" applyFill="1" applyBorder="1" applyAlignment="1">
      <alignment vertical="center"/>
    </xf>
    <xf numFmtId="0" fontId="3" fillId="26" borderId="106" xfId="0" applyFont="1" applyFill="1" applyBorder="1" applyAlignment="1">
      <alignment vertical="center"/>
    </xf>
    <xf numFmtId="1" fontId="90" fillId="25" borderId="106" xfId="0" applyNumberFormat="1" applyFont="1" applyFill="1" applyBorder="1" applyAlignment="1">
      <alignment vertical="center"/>
    </xf>
    <xf numFmtId="0" fontId="90" fillId="25" borderId="106" xfId="0" applyFont="1" applyFill="1" applyBorder="1" applyAlignment="1">
      <alignment vertical="center"/>
    </xf>
    <xf numFmtId="0" fontId="152" fillId="29" borderId="108" xfId="3032" applyFont="1" applyFill="1" applyBorder="1" applyAlignment="1">
      <alignment horizontal="right" vertical="center" wrapText="1"/>
    </xf>
    <xf numFmtId="0" fontId="152" fillId="29" borderId="109" xfId="3032" applyFont="1" applyFill="1" applyBorder="1" applyAlignment="1">
      <alignment horizontal="right" vertical="center" wrapText="1"/>
    </xf>
    <xf numFmtId="0" fontId="152" fillId="29" borderId="110" xfId="3032" applyFont="1" applyFill="1" applyBorder="1" applyAlignment="1">
      <alignment horizontal="right" vertical="center" wrapText="1"/>
    </xf>
    <xf numFmtId="0" fontId="152" fillId="29" borderId="121" xfId="0" applyFont="1" applyFill="1" applyBorder="1" applyAlignment="1">
      <alignment horizontal="right" vertical="center" wrapText="1"/>
    </xf>
    <xf numFmtId="0" fontId="152" fillId="29" borderId="0" xfId="0" applyFont="1" applyFill="1" applyAlignment="1">
      <alignment horizontal="right" vertical="center" wrapText="1"/>
    </xf>
    <xf numFmtId="0" fontId="152" fillId="29" borderId="122" xfId="0" applyFont="1" applyFill="1" applyBorder="1" applyAlignment="1">
      <alignment horizontal="right" vertical="center" wrapText="1"/>
    </xf>
    <xf numFmtId="10" fontId="152" fillId="29" borderId="121" xfId="3032" applyNumberFormat="1" applyFont="1" applyFill="1" applyBorder="1" applyAlignment="1">
      <alignment horizontal="right" vertical="center" wrapText="1"/>
    </xf>
    <xf numFmtId="10" fontId="152" fillId="29" borderId="122" xfId="3032" applyNumberFormat="1" applyFont="1" applyFill="1" applyBorder="1" applyAlignment="1">
      <alignment horizontal="right" vertical="center" wrapText="1"/>
    </xf>
    <xf numFmtId="169" fontId="53" fillId="28" borderId="107" xfId="3032" applyNumberFormat="1" applyFont="1" applyFill="1" applyBorder="1" applyAlignment="1">
      <alignment horizontal="center" vertical="center" wrapText="1"/>
    </xf>
    <xf numFmtId="169" fontId="53" fillId="28" borderId="92" xfId="3032" applyNumberFormat="1" applyFont="1" applyFill="1" applyBorder="1" applyAlignment="1">
      <alignment horizontal="center" vertical="center" wrapText="1"/>
    </xf>
    <xf numFmtId="171" fontId="152" fillId="29" borderId="126" xfId="3032" applyNumberFormat="1" applyFont="1" applyFill="1" applyBorder="1" applyAlignment="1">
      <alignment horizontal="center" vertical="center" wrapText="1"/>
    </xf>
    <xf numFmtId="0" fontId="28" fillId="28" borderId="108" xfId="3032" applyFont="1" applyFill="1" applyBorder="1" applyAlignment="1">
      <alignment horizontal="center" vertical="center" wrapText="1"/>
    </xf>
    <xf numFmtId="0" fontId="28" fillId="28" borderId="109" xfId="3032" applyFont="1" applyFill="1" applyBorder="1" applyAlignment="1">
      <alignment horizontal="center" vertical="center" wrapText="1"/>
    </xf>
    <xf numFmtId="0" fontId="28" fillId="28" borderId="110" xfId="3032" applyFont="1" applyFill="1" applyBorder="1" applyAlignment="1">
      <alignment horizontal="center" vertical="center" wrapText="1"/>
    </xf>
    <xf numFmtId="0" fontId="28" fillId="28" borderId="121" xfId="3032" applyFont="1" applyFill="1" applyBorder="1" applyAlignment="1">
      <alignment horizontal="center" vertical="center" wrapText="1"/>
    </xf>
    <xf numFmtId="0" fontId="28" fillId="28" borderId="0" xfId="3032" applyFont="1" applyFill="1" applyAlignment="1">
      <alignment horizontal="center" vertical="center" wrapText="1"/>
    </xf>
    <xf numFmtId="0" fontId="28" fillId="28" borderId="122" xfId="3032" applyFont="1" applyFill="1" applyBorder="1" applyAlignment="1">
      <alignment horizontal="center" vertical="center" wrapText="1"/>
    </xf>
    <xf numFmtId="0" fontId="26" fillId="28" borderId="121" xfId="430" applyFont="1" applyFill="1" applyBorder="1" applyAlignment="1">
      <alignment horizontal="left" vertical="center"/>
    </xf>
    <xf numFmtId="0" fontId="26" fillId="28" borderId="0" xfId="430" applyFont="1" applyFill="1" applyAlignment="1">
      <alignment horizontal="left" vertical="center"/>
    </xf>
    <xf numFmtId="0" fontId="29" fillId="25" borderId="104" xfId="430" applyFont="1" applyFill="1" applyBorder="1" applyAlignment="1">
      <alignment horizontal="center" vertical="center"/>
    </xf>
    <xf numFmtId="0" fontId="29" fillId="25" borderId="106" xfId="430" applyFont="1" applyFill="1" applyBorder="1" applyAlignment="1">
      <alignment horizontal="center" vertical="center"/>
    </xf>
    <xf numFmtId="0" fontId="29" fillId="25" borderId="105" xfId="430" applyFont="1" applyFill="1" applyBorder="1" applyAlignment="1">
      <alignment horizontal="center" vertical="center"/>
    </xf>
    <xf numFmtId="0" fontId="28" fillId="0" borderId="92" xfId="3032" applyFont="1" applyBorder="1" applyAlignment="1">
      <alignment horizontal="center" vertical="center" wrapText="1"/>
    </xf>
    <xf numFmtId="0" fontId="27" fillId="28" borderId="0" xfId="3032" applyFont="1" applyFill="1" applyAlignment="1">
      <alignment horizontal="left" vertical="center"/>
    </xf>
    <xf numFmtId="0" fontId="27" fillId="28" borderId="122" xfId="3032" applyFont="1" applyFill="1" applyBorder="1" applyAlignment="1">
      <alignment horizontal="left" vertical="center"/>
    </xf>
    <xf numFmtId="0" fontId="26" fillId="0" borderId="121" xfId="430" applyFont="1" applyBorder="1" applyAlignment="1">
      <alignment horizontal="left" vertical="center"/>
    </xf>
    <xf numFmtId="0" fontId="26" fillId="0" borderId="0" xfId="430" applyFont="1" applyAlignment="1">
      <alignment horizontal="left" vertical="center"/>
    </xf>
    <xf numFmtId="0" fontId="152" fillId="29" borderId="104" xfId="0" applyFont="1" applyFill="1" applyBorder="1" applyAlignment="1">
      <alignment horizontal="right" vertical="center" wrapText="1"/>
    </xf>
    <xf numFmtId="0" fontId="152" fillId="29" borderId="106" xfId="0" applyFont="1" applyFill="1" applyBorder="1" applyAlignment="1">
      <alignment horizontal="right" vertical="center" wrapText="1"/>
    </xf>
    <xf numFmtId="0" fontId="152" fillId="29" borderId="105" xfId="0" applyFont="1" applyFill="1" applyBorder="1" applyAlignment="1">
      <alignment horizontal="right" vertical="center" wrapText="1"/>
    </xf>
    <xf numFmtId="4" fontId="152" fillId="29" borderId="104" xfId="3032" applyNumberFormat="1" applyFont="1" applyFill="1" applyBorder="1" applyAlignment="1">
      <alignment horizontal="right" vertical="center" wrapText="1"/>
    </xf>
    <xf numFmtId="4" fontId="152" fillId="29" borderId="105" xfId="3032" applyNumberFormat="1" applyFont="1" applyFill="1" applyBorder="1" applyAlignment="1">
      <alignment horizontal="right" vertical="center" wrapText="1"/>
    </xf>
    <xf numFmtId="0" fontId="53" fillId="25" borderId="96" xfId="0" applyFont="1" applyFill="1" applyBorder="1" applyAlignment="1">
      <alignment horizontal="center" vertical="center" wrapText="1"/>
    </xf>
    <xf numFmtId="0" fontId="53" fillId="28" borderId="96" xfId="0" applyFont="1" applyFill="1" applyBorder="1" applyAlignment="1">
      <alignment horizontal="center" vertical="center" wrapText="1"/>
    </xf>
    <xf numFmtId="0" fontId="53" fillId="25" borderId="104" xfId="0" applyFont="1" applyFill="1" applyBorder="1" applyAlignment="1">
      <alignment horizontal="center" vertical="center" wrapText="1"/>
    </xf>
    <xf numFmtId="0" fontId="53" fillId="25" borderId="106" xfId="0" applyFont="1" applyFill="1" applyBorder="1" applyAlignment="1">
      <alignment horizontal="center" vertical="center" wrapText="1"/>
    </xf>
    <xf numFmtId="0" fontId="53" fillId="25" borderId="105" xfId="0" applyFont="1" applyFill="1" applyBorder="1" applyAlignment="1">
      <alignment horizontal="center" vertical="center" wrapText="1"/>
    </xf>
    <xf numFmtId="0" fontId="54" fillId="28" borderId="106" xfId="0" applyFont="1" applyFill="1" applyBorder="1" applyAlignment="1">
      <alignment horizontal="center" vertical="center" wrapText="1"/>
    </xf>
    <xf numFmtId="0" fontId="54" fillId="25" borderId="104" xfId="0" applyFont="1" applyFill="1" applyBorder="1" applyAlignment="1">
      <alignment horizontal="center" vertical="center" wrapText="1"/>
    </xf>
    <xf numFmtId="0" fontId="54" fillId="25" borderId="106" xfId="0" applyFont="1" applyFill="1" applyBorder="1" applyAlignment="1">
      <alignment horizontal="center" vertical="center" wrapText="1"/>
    </xf>
    <xf numFmtId="0" fontId="54" fillId="25" borderId="105" xfId="0" applyFont="1" applyFill="1" applyBorder="1" applyAlignment="1">
      <alignment horizontal="center" vertical="center" wrapText="1"/>
    </xf>
    <xf numFmtId="0" fontId="61" fillId="0" borderId="104" xfId="0" applyFont="1" applyBorder="1" applyAlignment="1">
      <alignment horizontal="left" vertical="center" wrapText="1"/>
    </xf>
    <xf numFmtId="0" fontId="61" fillId="0" borderId="106" xfId="0" applyFont="1" applyBorder="1" applyAlignment="1">
      <alignment horizontal="left" vertical="center" wrapText="1"/>
    </xf>
    <xf numFmtId="0" fontId="61" fillId="0" borderId="105" xfId="0" applyFont="1" applyBorder="1" applyAlignment="1">
      <alignment horizontal="left" vertical="center" wrapText="1"/>
    </xf>
    <xf numFmtId="0" fontId="110" fillId="28" borderId="106" xfId="0" applyFont="1" applyFill="1" applyBorder="1" applyAlignment="1">
      <alignment horizontal="center" vertical="center" wrapText="1"/>
    </xf>
    <xf numFmtId="0" fontId="105" fillId="0" borderId="108" xfId="0" applyFont="1" applyBorder="1" applyAlignment="1">
      <alignment horizontal="left" vertical="top"/>
    </xf>
    <xf numFmtId="0" fontId="105" fillId="0" borderId="109" xfId="0" applyFont="1" applyBorder="1" applyAlignment="1">
      <alignment horizontal="left" vertical="top"/>
    </xf>
    <xf numFmtId="0" fontId="105" fillId="0" borderId="110" xfId="0" applyFont="1" applyBorder="1" applyAlignment="1">
      <alignment horizontal="left" vertical="top"/>
    </xf>
    <xf numFmtId="0" fontId="105" fillId="0" borderId="8" xfId="0" applyFont="1" applyBorder="1" applyAlignment="1">
      <alignment horizontal="left" vertical="top"/>
    </xf>
    <xf numFmtId="0" fontId="105" fillId="0" borderId="9" xfId="0" applyFont="1" applyBorder="1" applyAlignment="1">
      <alignment horizontal="left" vertical="top"/>
    </xf>
    <xf numFmtId="0" fontId="105" fillId="0" borderId="10" xfId="0" applyFont="1" applyBorder="1" applyAlignment="1">
      <alignment horizontal="left" vertical="top"/>
    </xf>
    <xf numFmtId="0" fontId="53" fillId="25" borderId="82" xfId="0" applyFont="1" applyFill="1" applyBorder="1" applyAlignment="1">
      <alignment horizontal="center" vertical="center" wrapText="1"/>
    </xf>
    <xf numFmtId="0" fontId="53" fillId="28" borderId="82" xfId="0" applyFont="1" applyFill="1" applyBorder="1" applyAlignment="1">
      <alignment horizontal="center" vertical="center" wrapText="1"/>
    </xf>
    <xf numFmtId="0" fontId="28" fillId="0" borderId="104" xfId="0" applyFont="1" applyBorder="1" applyAlignment="1">
      <alignment horizontal="center" vertical="center"/>
    </xf>
    <xf numFmtId="0" fontId="28" fillId="0" borderId="105" xfId="0" applyFont="1" applyBorder="1" applyAlignment="1">
      <alignment horizontal="center" vertical="center"/>
    </xf>
    <xf numFmtId="0" fontId="53" fillId="0" borderId="107" xfId="0" applyFont="1" applyBorder="1" applyAlignment="1">
      <alignment horizontal="center" vertical="center"/>
    </xf>
    <xf numFmtId="0" fontId="53" fillId="0" borderId="126" xfId="0" applyFont="1" applyBorder="1" applyAlignment="1">
      <alignment horizontal="center" vertical="center"/>
    </xf>
    <xf numFmtId="0" fontId="53" fillId="0" borderId="13" xfId="0" applyFont="1" applyBorder="1" applyAlignment="1">
      <alignment horizontal="center" vertical="center"/>
    </xf>
    <xf numFmtId="17" fontId="28" fillId="35" borderId="104" xfId="0" quotePrefix="1" applyNumberFormat="1" applyFont="1" applyFill="1" applyBorder="1" applyAlignment="1">
      <alignment horizontal="center" vertical="center"/>
    </xf>
    <xf numFmtId="17" fontId="28" fillId="35" borderId="106" xfId="0" quotePrefix="1" applyNumberFormat="1" applyFont="1" applyFill="1" applyBorder="1" applyAlignment="1">
      <alignment horizontal="center" vertical="center"/>
    </xf>
    <xf numFmtId="17" fontId="28" fillId="35" borderId="105" xfId="0" quotePrefix="1" applyNumberFormat="1" applyFont="1" applyFill="1" applyBorder="1" applyAlignment="1">
      <alignment horizontal="center" vertical="center"/>
    </xf>
    <xf numFmtId="0" fontId="105" fillId="0" borderId="104" xfId="0" applyFont="1" applyBorder="1" applyAlignment="1">
      <alignment horizontal="center" vertical="center"/>
    </xf>
    <xf numFmtId="0" fontId="105" fillId="0" borderId="106" xfId="0" applyFont="1" applyBorder="1" applyAlignment="1">
      <alignment horizontal="center" vertical="center"/>
    </xf>
    <xf numFmtId="0" fontId="105" fillId="0" borderId="105" xfId="0" applyFont="1" applyBorder="1" applyAlignment="1">
      <alignment horizontal="center" vertical="center"/>
    </xf>
    <xf numFmtId="0" fontId="90" fillId="0" borderId="122" xfId="0" applyFont="1" applyBorder="1" applyAlignment="1">
      <alignment horizontal="left" vertical="center" wrapText="1"/>
    </xf>
    <xf numFmtId="0" fontId="90" fillId="0" borderId="126" xfId="0" applyFont="1" applyBorder="1" applyAlignment="1">
      <alignment horizontal="left" vertical="center" wrapText="1"/>
    </xf>
    <xf numFmtId="0" fontId="90" fillId="0" borderId="121" xfId="0" applyFont="1" applyBorder="1" applyAlignment="1">
      <alignment horizontal="left" vertical="center" wrapText="1"/>
    </xf>
    <xf numFmtId="0" fontId="53" fillId="0" borderId="122" xfId="0" applyFont="1" applyBorder="1" applyAlignment="1">
      <alignment horizontal="center" vertical="center"/>
    </xf>
    <xf numFmtId="0" fontId="53" fillId="0" borderId="121" xfId="0" applyFont="1" applyBorder="1" applyAlignment="1">
      <alignment horizontal="center" vertical="center"/>
    </xf>
    <xf numFmtId="0" fontId="28" fillId="35" borderId="82" xfId="0" applyFont="1" applyFill="1" applyBorder="1" applyAlignment="1">
      <alignment horizontal="center" vertical="center"/>
    </xf>
    <xf numFmtId="0" fontId="3" fillId="0" borderId="82" xfId="0" applyFont="1" applyBorder="1" applyAlignment="1">
      <alignment horizontal="left" vertical="center"/>
    </xf>
    <xf numFmtId="0" fontId="28" fillId="0" borderId="0" xfId="0" applyFont="1" applyAlignment="1">
      <alignment horizontal="center" vertical="center"/>
    </xf>
    <xf numFmtId="0" fontId="3" fillId="0" borderId="0" xfId="0" applyFont="1" applyAlignment="1">
      <alignment horizontal="left" vertical="center"/>
    </xf>
    <xf numFmtId="0" fontId="53" fillId="29" borderId="97" xfId="0" applyFont="1" applyFill="1" applyBorder="1" applyAlignment="1">
      <alignment horizontal="center" vertical="center"/>
    </xf>
    <xf numFmtId="0" fontId="53" fillId="29" borderId="99" xfId="0" applyFont="1" applyFill="1" applyBorder="1" applyAlignment="1">
      <alignment horizontal="center" vertical="center"/>
    </xf>
    <xf numFmtId="0" fontId="53" fillId="29" borderId="98" xfId="0" applyFont="1" applyFill="1" applyBorder="1" applyAlignment="1">
      <alignment horizontal="center" vertical="center"/>
    </xf>
    <xf numFmtId="0" fontId="118" fillId="28" borderId="103" xfId="0" applyFont="1" applyFill="1" applyBorder="1" applyAlignment="1">
      <alignment horizontal="left" vertical="center"/>
    </xf>
    <xf numFmtId="49" fontId="99" fillId="0" borderId="0" xfId="160" quotePrefix="1" applyNumberFormat="1" applyFont="1" applyAlignment="1">
      <alignment horizontal="right" vertical="center"/>
    </xf>
    <xf numFmtId="188" fontId="116" fillId="28" borderId="128" xfId="160" applyNumberFormat="1" applyFont="1" applyFill="1" applyBorder="1" applyAlignment="1">
      <alignment horizontal="left" vertical="center" wrapText="1"/>
    </xf>
    <xf numFmtId="0" fontId="53" fillId="29" borderId="106" xfId="0" applyFont="1" applyFill="1" applyBorder="1" applyAlignment="1">
      <alignment horizontal="center" vertical="center"/>
    </xf>
    <xf numFmtId="0" fontId="89" fillId="0" borderId="0" xfId="0" applyFont="1" applyAlignment="1">
      <alignment horizontal="center"/>
    </xf>
    <xf numFmtId="0" fontId="53" fillId="0" borderId="82" xfId="0" applyFont="1" applyBorder="1" applyAlignment="1">
      <alignment horizontal="center" vertical="center"/>
    </xf>
    <xf numFmtId="0" fontId="53" fillId="0" borderId="82" xfId="0" applyFont="1" applyBorder="1" applyAlignment="1">
      <alignment horizontal="center" vertical="center" wrapText="1"/>
    </xf>
    <xf numFmtId="0" fontId="53" fillId="0" borderId="79" xfId="0" applyFont="1" applyBorder="1" applyAlignment="1">
      <alignment horizontal="center" vertical="center"/>
    </xf>
    <xf numFmtId="0" fontId="53" fillId="0" borderId="80" xfId="0" applyFont="1" applyBorder="1" applyAlignment="1">
      <alignment horizontal="center" vertical="center"/>
    </xf>
    <xf numFmtId="0" fontId="53" fillId="0" borderId="81" xfId="0" applyFont="1" applyBorder="1" applyAlignment="1">
      <alignment horizontal="center" vertical="center"/>
    </xf>
    <xf numFmtId="0" fontId="53" fillId="0" borderId="54" xfId="0" applyFont="1" applyBorder="1" applyAlignment="1">
      <alignment horizontal="center" vertical="center"/>
    </xf>
    <xf numFmtId="0" fontId="53" fillId="0" borderId="27" xfId="0" applyFont="1" applyBorder="1" applyAlignment="1">
      <alignment horizontal="center" vertical="center"/>
    </xf>
    <xf numFmtId="0" fontId="53" fillId="0" borderId="48" xfId="0" applyFont="1" applyBorder="1" applyAlignment="1">
      <alignment horizontal="center" vertical="center"/>
    </xf>
    <xf numFmtId="0" fontId="53" fillId="0" borderId="78" xfId="0" applyFont="1" applyBorder="1" applyAlignment="1">
      <alignment horizontal="center" vertical="center"/>
    </xf>
    <xf numFmtId="0" fontId="53" fillId="0" borderId="77" xfId="0" applyFont="1" applyBorder="1" applyAlignment="1">
      <alignment horizontal="center" vertical="center"/>
    </xf>
    <xf numFmtId="0" fontId="53" fillId="0" borderId="62" xfId="0" applyFont="1" applyBorder="1" applyAlignment="1">
      <alignment horizontal="center" vertical="center"/>
    </xf>
    <xf numFmtId="0" fontId="67" fillId="28" borderId="0" xfId="3032" applyFont="1" applyFill="1" applyAlignment="1">
      <alignment horizontal="left" vertical="center"/>
    </xf>
    <xf numFmtId="0" fontId="67" fillId="28" borderId="7" xfId="3032" applyFont="1" applyFill="1" applyBorder="1" applyAlignment="1">
      <alignment horizontal="left" vertical="center"/>
    </xf>
    <xf numFmtId="0" fontId="28" fillId="25" borderId="59" xfId="3032" applyFont="1" applyFill="1" applyBorder="1" applyAlignment="1">
      <alignment horizontal="center" vertical="center" wrapText="1"/>
    </xf>
    <xf numFmtId="0" fontId="28" fillId="25" borderId="60" xfId="3032" applyFont="1" applyFill="1" applyBorder="1" applyAlignment="1">
      <alignment horizontal="center" vertical="center" wrapText="1"/>
    </xf>
    <xf numFmtId="0" fontId="28" fillId="25" borderId="61" xfId="3032" applyFont="1" applyFill="1" applyBorder="1" applyAlignment="1">
      <alignment horizontal="center" vertical="center" wrapText="1"/>
    </xf>
    <xf numFmtId="0" fontId="4" fillId="28" borderId="14" xfId="3032" applyFill="1" applyBorder="1" applyAlignment="1">
      <alignment horizontal="center" wrapText="1"/>
    </xf>
    <xf numFmtId="0" fontId="4" fillId="28" borderId="14" xfId="3032" applyFill="1" applyBorder="1" applyAlignment="1">
      <alignment horizontal="center"/>
    </xf>
    <xf numFmtId="0" fontId="28" fillId="0" borderId="0" xfId="430" applyFont="1" applyAlignment="1">
      <alignment horizontal="left" vertical="center"/>
    </xf>
    <xf numFmtId="0" fontId="28" fillId="25" borderId="57" xfId="3032" applyFont="1" applyFill="1" applyBorder="1" applyAlignment="1">
      <alignment horizontal="center" vertical="center"/>
    </xf>
    <xf numFmtId="0" fontId="28" fillId="25" borderId="55" xfId="3032" applyFont="1" applyFill="1" applyBorder="1" applyAlignment="1">
      <alignment horizontal="center" vertical="center"/>
    </xf>
    <xf numFmtId="0" fontId="28" fillId="25" borderId="60" xfId="3032" applyFont="1" applyFill="1" applyBorder="1" applyAlignment="1">
      <alignment horizontal="center" vertical="center"/>
    </xf>
    <xf numFmtId="0" fontId="66" fillId="28" borderId="0" xfId="430" applyFont="1" applyFill="1" applyAlignment="1">
      <alignment horizontal="left" vertical="center"/>
    </xf>
    <xf numFmtId="0" fontId="66" fillId="28" borderId="7" xfId="430" applyFont="1" applyFill="1" applyBorder="1" applyAlignment="1">
      <alignment horizontal="left" vertical="center"/>
    </xf>
    <xf numFmtId="0" fontId="66" fillId="28" borderId="27" xfId="430" applyFont="1" applyFill="1" applyBorder="1" applyAlignment="1">
      <alignment horizontal="left" vertical="center"/>
    </xf>
    <xf numFmtId="0" fontId="66" fillId="28" borderId="48" xfId="430" applyFont="1" applyFill="1" applyBorder="1" applyAlignment="1">
      <alignment horizontal="left" vertical="center"/>
    </xf>
    <xf numFmtId="0" fontId="28" fillId="26" borderId="57" xfId="3032" applyFont="1" applyFill="1" applyBorder="1" applyAlignment="1">
      <alignment horizontal="left" vertical="distributed" wrapText="1"/>
    </xf>
    <xf numFmtId="0" fontId="28" fillId="26" borderId="55" xfId="3032" applyFont="1" applyFill="1" applyBorder="1" applyAlignment="1">
      <alignment horizontal="left" vertical="distributed" wrapText="1"/>
    </xf>
    <xf numFmtId="1" fontId="28" fillId="28" borderId="14" xfId="3032" applyNumberFormat="1" applyFont="1" applyFill="1" applyBorder="1" applyAlignment="1">
      <alignment horizontal="center" vertical="center" wrapText="1"/>
    </xf>
    <xf numFmtId="1" fontId="28" fillId="28" borderId="14" xfId="3032" applyNumberFormat="1" applyFont="1" applyFill="1" applyBorder="1" applyAlignment="1">
      <alignment horizontal="left" vertical="center" wrapText="1"/>
    </xf>
    <xf numFmtId="0" fontId="28" fillId="28" borderId="14" xfId="430" applyFont="1" applyFill="1" applyBorder="1" applyAlignment="1">
      <alignment horizontal="center" vertical="center" wrapText="1"/>
    </xf>
    <xf numFmtId="0" fontId="28" fillId="28" borderId="14" xfId="3032" applyFont="1" applyFill="1" applyBorder="1" applyAlignment="1">
      <alignment horizontal="center" vertical="distributed" wrapText="1"/>
    </xf>
    <xf numFmtId="0" fontId="28" fillId="28" borderId="11" xfId="3032" applyFont="1" applyFill="1" applyBorder="1" applyAlignment="1">
      <alignment horizontal="center" vertical="center" wrapText="1"/>
    </xf>
    <xf numFmtId="0" fontId="28" fillId="28" borderId="14" xfId="3032" applyFont="1" applyFill="1" applyBorder="1" applyAlignment="1">
      <alignment horizontal="center" vertical="center" wrapText="1"/>
    </xf>
    <xf numFmtId="0" fontId="28" fillId="29" borderId="54" xfId="0" applyFont="1" applyFill="1" applyBorder="1" applyAlignment="1">
      <alignment horizontal="right" vertical="center" wrapText="1"/>
    </xf>
    <xf numFmtId="0" fontId="28" fillId="29" borderId="27" xfId="0" applyFont="1" applyFill="1" applyBorder="1" applyAlignment="1">
      <alignment horizontal="right" vertical="center" wrapText="1"/>
    </xf>
    <xf numFmtId="0" fontId="28" fillId="29" borderId="48" xfId="0" applyFont="1" applyFill="1" applyBorder="1" applyAlignment="1">
      <alignment horizontal="right" vertical="center" wrapText="1"/>
    </xf>
    <xf numFmtId="4" fontId="28" fillId="29" borderId="54" xfId="3032" applyNumberFormat="1" applyFont="1" applyFill="1" applyBorder="1" applyAlignment="1">
      <alignment horizontal="right" vertical="center"/>
    </xf>
    <xf numFmtId="4" fontId="28" fillId="29" borderId="48" xfId="3032" applyNumberFormat="1" applyFont="1" applyFill="1" applyBorder="1" applyAlignment="1">
      <alignment horizontal="right" vertical="center"/>
    </xf>
    <xf numFmtId="0" fontId="28" fillId="29" borderId="54" xfId="3032" applyFont="1" applyFill="1" applyBorder="1" applyAlignment="1">
      <alignment horizontal="right" vertical="center"/>
    </xf>
    <xf numFmtId="0" fontId="28" fillId="29" borderId="27" xfId="3032" applyFont="1" applyFill="1" applyBorder="1" applyAlignment="1">
      <alignment horizontal="right" vertical="center"/>
    </xf>
    <xf numFmtId="0" fontId="28" fillId="29" borderId="48" xfId="3032" applyFont="1" applyFill="1" applyBorder="1" applyAlignment="1">
      <alignment horizontal="right" vertical="center"/>
    </xf>
    <xf numFmtId="0" fontId="28" fillId="29" borderId="3" xfId="0" applyFont="1" applyFill="1" applyBorder="1" applyAlignment="1">
      <alignment horizontal="right" vertical="center" wrapText="1"/>
    </xf>
    <xf numFmtId="0" fontId="28" fillId="29" borderId="51" xfId="0" applyFont="1" applyFill="1" applyBorder="1" applyAlignment="1">
      <alignment horizontal="right" vertical="center" wrapText="1"/>
    </xf>
    <xf numFmtId="0" fontId="28" fillId="29" borderId="52" xfId="0" applyFont="1" applyFill="1" applyBorder="1" applyAlignment="1">
      <alignment horizontal="right" vertical="center" wrapText="1"/>
    </xf>
    <xf numFmtId="10" fontId="28" fillId="29" borderId="3" xfId="3032" applyNumberFormat="1" applyFont="1" applyFill="1" applyBorder="1" applyAlignment="1">
      <alignment horizontal="right" vertical="center"/>
    </xf>
    <xf numFmtId="10" fontId="28" fillId="29" borderId="52" xfId="3032" applyNumberFormat="1" applyFont="1" applyFill="1" applyBorder="1" applyAlignment="1">
      <alignment horizontal="right" vertical="center"/>
    </xf>
    <xf numFmtId="10" fontId="28" fillId="29" borderId="54" xfId="3032" applyNumberFormat="1" applyFont="1" applyFill="1" applyBorder="1" applyAlignment="1">
      <alignment horizontal="right" vertical="center"/>
    </xf>
    <xf numFmtId="10" fontId="28" fillId="29" borderId="48" xfId="3032" applyNumberFormat="1" applyFont="1" applyFill="1" applyBorder="1" applyAlignment="1">
      <alignment horizontal="right" vertical="center"/>
    </xf>
    <xf numFmtId="171" fontId="28" fillId="29" borderId="11" xfId="3032" applyNumberFormat="1" applyFont="1" applyFill="1" applyBorder="1" applyAlignment="1">
      <alignment horizontal="left" vertical="center"/>
    </xf>
    <xf numFmtId="171" fontId="28" fillId="29" borderId="13" xfId="3032" applyNumberFormat="1" applyFont="1" applyFill="1" applyBorder="1" applyAlignment="1">
      <alignment horizontal="left" vertical="center"/>
    </xf>
    <xf numFmtId="0" fontId="28" fillId="29" borderId="59" xfId="3032" applyFont="1" applyFill="1" applyBorder="1" applyAlignment="1">
      <alignment horizontal="right" vertical="center"/>
    </xf>
    <xf numFmtId="0" fontId="28" fillId="29" borderId="60" xfId="3032" applyFont="1" applyFill="1" applyBorder="1" applyAlignment="1">
      <alignment horizontal="right" vertical="center"/>
    </xf>
    <xf numFmtId="0" fontId="28" fillId="29" borderId="61" xfId="3032" applyFont="1" applyFill="1" applyBorder="1" applyAlignment="1">
      <alignment horizontal="right" vertical="center"/>
    </xf>
    <xf numFmtId="0" fontId="28" fillId="25" borderId="59" xfId="3032" applyFont="1" applyFill="1" applyBorder="1" applyAlignment="1">
      <alignment horizontal="center" vertical="center"/>
    </xf>
    <xf numFmtId="0" fontId="28" fillId="25" borderId="61" xfId="3032" applyFont="1" applyFill="1" applyBorder="1" applyAlignment="1">
      <alignment horizontal="center" vertical="center"/>
    </xf>
    <xf numFmtId="0" fontId="28" fillId="26" borderId="59" xfId="3032" applyFont="1" applyFill="1" applyBorder="1" applyAlignment="1">
      <alignment horizontal="left" vertical="distributed" wrapText="1"/>
    </xf>
    <xf numFmtId="0" fontId="28" fillId="26" borderId="60" xfId="3032" applyFont="1" applyFill="1" applyBorder="1" applyAlignment="1">
      <alignment horizontal="left" vertical="distributed" wrapText="1"/>
    </xf>
    <xf numFmtId="4" fontId="28" fillId="29" borderId="54" xfId="3032" applyNumberFormat="1" applyFont="1" applyFill="1" applyBorder="1" applyAlignment="1">
      <alignment horizontal="right" vertical="center" wrapText="1"/>
    </xf>
    <xf numFmtId="4" fontId="28" fillId="29" borderId="48" xfId="3032" applyNumberFormat="1" applyFont="1" applyFill="1" applyBorder="1" applyAlignment="1">
      <alignment horizontal="right" vertical="center" wrapText="1"/>
    </xf>
    <xf numFmtId="0" fontId="28" fillId="29" borderId="54" xfId="3032" applyFont="1" applyFill="1" applyBorder="1" applyAlignment="1">
      <alignment horizontal="right" vertical="center" wrapText="1"/>
    </xf>
    <xf numFmtId="0" fontId="28" fillId="29" borderId="27" xfId="3032" applyFont="1" applyFill="1" applyBorder="1" applyAlignment="1">
      <alignment horizontal="right" vertical="center" wrapText="1"/>
    </xf>
    <xf numFmtId="0" fontId="28" fillId="29" borderId="48" xfId="3032" applyFont="1" applyFill="1" applyBorder="1" applyAlignment="1">
      <alignment horizontal="right" vertical="center" wrapText="1"/>
    </xf>
    <xf numFmtId="10" fontId="28" fillId="29" borderId="3" xfId="3032" applyNumberFormat="1" applyFont="1" applyFill="1" applyBorder="1" applyAlignment="1">
      <alignment horizontal="right" vertical="center" wrapText="1"/>
    </xf>
    <xf numFmtId="10" fontId="28" fillId="29" borderId="52" xfId="3032" applyNumberFormat="1" applyFont="1" applyFill="1" applyBorder="1" applyAlignment="1">
      <alignment horizontal="right" vertical="center" wrapText="1"/>
    </xf>
    <xf numFmtId="10" fontId="28" fillId="29" borderId="54" xfId="3032" applyNumberFormat="1" applyFont="1" applyFill="1" applyBorder="1" applyAlignment="1">
      <alignment horizontal="right" vertical="center" wrapText="1"/>
    </xf>
    <xf numFmtId="10" fontId="28" fillId="29" borderId="48" xfId="3032" applyNumberFormat="1" applyFont="1" applyFill="1" applyBorder="1" applyAlignment="1">
      <alignment horizontal="right" vertical="center" wrapText="1"/>
    </xf>
    <xf numFmtId="171" fontId="28" fillId="29" borderId="11" xfId="3032" applyNumberFormat="1" applyFont="1" applyFill="1" applyBorder="1" applyAlignment="1">
      <alignment horizontal="left" vertical="center" wrapText="1"/>
    </xf>
    <xf numFmtId="171" fontId="28" fillId="29" borderId="13" xfId="3032" applyNumberFormat="1" applyFont="1" applyFill="1" applyBorder="1" applyAlignment="1">
      <alignment horizontal="left" vertical="center" wrapText="1"/>
    </xf>
    <xf numFmtId="0" fontId="28" fillId="29" borderId="59" xfId="3032" applyFont="1" applyFill="1" applyBorder="1" applyAlignment="1">
      <alignment horizontal="right" vertical="center" wrapText="1"/>
    </xf>
    <xf numFmtId="0" fontId="28" fillId="29" borderId="60" xfId="3032" applyFont="1" applyFill="1" applyBorder="1" applyAlignment="1">
      <alignment horizontal="right" vertical="center" wrapText="1"/>
    </xf>
    <xf numFmtId="0" fontId="28" fillId="29" borderId="61" xfId="3032" applyFont="1" applyFill="1" applyBorder="1" applyAlignment="1">
      <alignment horizontal="right" vertical="center" wrapText="1"/>
    </xf>
    <xf numFmtId="0" fontId="28" fillId="25" borderId="12" xfId="3032" applyFont="1" applyFill="1" applyBorder="1" applyAlignment="1">
      <alignment horizontal="center" vertical="center"/>
    </xf>
    <xf numFmtId="0" fontId="28" fillId="25" borderId="49" xfId="3032" applyFont="1" applyFill="1" applyBorder="1" applyAlignment="1">
      <alignment horizontal="center" vertical="center"/>
    </xf>
    <xf numFmtId="0" fontId="28" fillId="25" borderId="12" xfId="3032" applyFont="1" applyFill="1" applyBorder="1" applyAlignment="1">
      <alignment horizontal="center" vertical="center" wrapText="1"/>
    </xf>
    <xf numFmtId="0" fontId="28" fillId="25" borderId="49" xfId="3032" applyFont="1" applyFill="1" applyBorder="1" applyAlignment="1">
      <alignment horizontal="center" vertical="center" wrapText="1"/>
    </xf>
    <xf numFmtId="0" fontId="28" fillId="25" borderId="50" xfId="3032" applyFont="1" applyFill="1" applyBorder="1" applyAlignment="1">
      <alignment horizontal="center" vertical="center" wrapText="1"/>
    </xf>
    <xf numFmtId="0" fontId="28" fillId="26" borderId="12" xfId="3032" applyFont="1" applyFill="1" applyBorder="1" applyAlignment="1">
      <alignment horizontal="left" vertical="distributed" wrapText="1"/>
    </xf>
    <xf numFmtId="0" fontId="28" fillId="26" borderId="49" xfId="3032" applyFont="1" applyFill="1" applyBorder="1" applyAlignment="1">
      <alignment horizontal="left" vertical="distributed" wrapText="1"/>
    </xf>
    <xf numFmtId="0" fontId="28" fillId="29" borderId="8" xfId="0" applyFont="1" applyFill="1" applyBorder="1" applyAlignment="1">
      <alignment horizontal="right" vertical="center" wrapText="1"/>
    </xf>
    <xf numFmtId="10" fontId="28" fillId="28" borderId="3" xfId="3032" applyNumberFormat="1" applyFont="1" applyFill="1" applyBorder="1" applyAlignment="1">
      <alignment horizontal="right" vertical="center" wrapText="1"/>
    </xf>
    <xf numFmtId="10" fontId="28" fillId="28" borderId="52" xfId="3032" applyNumberFormat="1" applyFont="1" applyFill="1" applyBorder="1" applyAlignment="1">
      <alignment horizontal="right" vertical="center" wrapText="1"/>
    </xf>
    <xf numFmtId="10" fontId="28" fillId="28" borderId="8" xfId="3032" applyNumberFormat="1" applyFont="1" applyFill="1" applyBorder="1" applyAlignment="1">
      <alignment horizontal="right" vertical="center" wrapText="1"/>
    </xf>
    <xf numFmtId="10" fontId="28" fillId="28" borderId="48" xfId="3032" applyNumberFormat="1" applyFont="1" applyFill="1" applyBorder="1" applyAlignment="1">
      <alignment horizontal="right" vertical="center" wrapText="1"/>
    </xf>
    <xf numFmtId="0" fontId="28" fillId="29" borderId="12" xfId="3032" applyFont="1" applyFill="1" applyBorder="1" applyAlignment="1">
      <alignment horizontal="right" vertical="center" wrapText="1"/>
    </xf>
    <xf numFmtId="0" fontId="28" fillId="29" borderId="49" xfId="3032" applyFont="1" applyFill="1" applyBorder="1" applyAlignment="1">
      <alignment horizontal="right" vertical="center" wrapText="1"/>
    </xf>
    <xf numFmtId="0" fontId="28" fillId="29" borderId="50" xfId="3032" applyFont="1" applyFill="1" applyBorder="1" applyAlignment="1">
      <alignment horizontal="right" vertical="center" wrapText="1"/>
    </xf>
    <xf numFmtId="4" fontId="28" fillId="29" borderId="8" xfId="3032" applyNumberFormat="1" applyFont="1" applyFill="1" applyBorder="1" applyAlignment="1">
      <alignment horizontal="right" vertical="center" wrapText="1"/>
    </xf>
    <xf numFmtId="0" fontId="28" fillId="29" borderId="8" xfId="3032" applyFont="1" applyFill="1" applyBorder="1" applyAlignment="1">
      <alignment horizontal="right" vertical="center" wrapText="1"/>
    </xf>
    <xf numFmtId="10" fontId="28" fillId="29" borderId="8" xfId="3032" applyNumberFormat="1" applyFont="1" applyFill="1" applyBorder="1" applyAlignment="1">
      <alignment horizontal="right" vertical="center" wrapText="1"/>
    </xf>
    <xf numFmtId="0" fontId="28" fillId="29" borderId="12" xfId="3032" applyFont="1" applyFill="1" applyBorder="1" applyAlignment="1">
      <alignment horizontal="left" vertical="distributed" wrapText="1"/>
    </xf>
    <xf numFmtId="0" fontId="28" fillId="29" borderId="49" xfId="3032" applyFont="1" applyFill="1" applyBorder="1" applyAlignment="1">
      <alignment horizontal="left" vertical="distributed" wrapText="1"/>
    </xf>
    <xf numFmtId="0" fontId="28" fillId="29" borderId="4" xfId="0" applyFont="1" applyFill="1" applyBorder="1" applyAlignment="1">
      <alignment horizontal="right" vertical="center" wrapText="1"/>
    </xf>
    <xf numFmtId="0" fontId="28" fillId="29" borderId="5" xfId="0" applyFont="1" applyFill="1" applyBorder="1" applyAlignment="1">
      <alignment horizontal="right" vertical="center" wrapText="1"/>
    </xf>
    <xf numFmtId="10" fontId="28" fillId="29" borderId="5" xfId="3032" applyNumberFormat="1" applyFont="1" applyFill="1" applyBorder="1" applyAlignment="1">
      <alignment horizontal="right" vertical="center" wrapText="1"/>
    </xf>
    <xf numFmtId="0" fontId="28" fillId="29" borderId="12" xfId="0" applyFont="1" applyFill="1" applyBorder="1" applyAlignment="1">
      <alignment horizontal="right" vertical="center" wrapText="1"/>
    </xf>
    <xf numFmtId="0" fontId="28" fillId="29" borderId="49" xfId="0" applyFont="1" applyFill="1" applyBorder="1" applyAlignment="1">
      <alignment horizontal="right" vertical="center" wrapText="1"/>
    </xf>
    <xf numFmtId="0" fontId="28" fillId="29" borderId="50" xfId="0" applyFont="1" applyFill="1" applyBorder="1" applyAlignment="1">
      <alignment horizontal="right" vertical="center" wrapText="1"/>
    </xf>
    <xf numFmtId="10" fontId="28" fillId="29" borderId="12" xfId="3032" applyNumberFormat="1" applyFont="1" applyFill="1" applyBorder="1" applyAlignment="1">
      <alignment horizontal="right" vertical="center" wrapText="1"/>
    </xf>
    <xf numFmtId="10" fontId="28" fillId="29" borderId="50" xfId="3032" applyNumberFormat="1" applyFont="1" applyFill="1" applyBorder="1" applyAlignment="1">
      <alignment horizontal="right" vertical="center" wrapText="1"/>
    </xf>
    <xf numFmtId="171" fontId="28" fillId="29" borderId="14" xfId="3032" applyNumberFormat="1" applyFont="1" applyFill="1" applyBorder="1" applyAlignment="1">
      <alignment horizontal="left" vertical="center" wrapText="1"/>
    </xf>
    <xf numFmtId="0" fontId="28" fillId="29" borderId="57" xfId="3032" applyFont="1" applyFill="1" applyBorder="1" applyAlignment="1">
      <alignment horizontal="right" vertical="center" wrapText="1"/>
    </xf>
    <xf numFmtId="0" fontId="28" fillId="29" borderId="55" xfId="3032" applyFont="1" applyFill="1" applyBorder="1" applyAlignment="1">
      <alignment horizontal="right" vertical="center" wrapText="1"/>
    </xf>
    <xf numFmtId="0" fontId="28" fillId="29" borderId="56" xfId="3032" applyFont="1" applyFill="1" applyBorder="1" applyAlignment="1">
      <alignment horizontal="right" vertical="center" wrapText="1"/>
    </xf>
    <xf numFmtId="0" fontId="28" fillId="29" borderId="6" xfId="0" applyFont="1" applyFill="1" applyBorder="1" applyAlignment="1">
      <alignment horizontal="right" vertical="center" wrapText="1"/>
    </xf>
    <xf numFmtId="0" fontId="28" fillId="29" borderId="0" xfId="0" applyFont="1" applyFill="1" applyAlignment="1">
      <alignment horizontal="right" vertical="center" wrapText="1"/>
    </xf>
    <xf numFmtId="0" fontId="28" fillId="29" borderId="7" xfId="0" applyFont="1" applyFill="1" applyBorder="1" applyAlignment="1">
      <alignment horizontal="right" vertical="center" wrapText="1"/>
    </xf>
    <xf numFmtId="10" fontId="28" fillId="29" borderId="6" xfId="3032" applyNumberFormat="1" applyFont="1" applyFill="1" applyBorder="1" applyAlignment="1">
      <alignment horizontal="right" vertical="center" wrapText="1"/>
    </xf>
    <xf numFmtId="10" fontId="28" fillId="29" borderId="7" xfId="3032" applyNumberFormat="1" applyFont="1" applyFill="1" applyBorder="1" applyAlignment="1">
      <alignment horizontal="right" vertical="center" wrapText="1"/>
    </xf>
    <xf numFmtId="171" fontId="28" fillId="29" borderId="40" xfId="3032" applyNumberFormat="1" applyFont="1" applyFill="1" applyBorder="1" applyAlignment="1">
      <alignment horizontal="left" vertical="center" wrapText="1"/>
    </xf>
    <xf numFmtId="0" fontId="28" fillId="29" borderId="58" xfId="0" applyFont="1" applyFill="1" applyBorder="1" applyAlignment="1">
      <alignment horizontal="right" vertical="center" wrapText="1"/>
    </xf>
    <xf numFmtId="10" fontId="28" fillId="29" borderId="58" xfId="3032" applyNumberFormat="1" applyFont="1" applyFill="1" applyBorder="1" applyAlignment="1">
      <alignment horizontal="right" vertical="center" wrapText="1"/>
    </xf>
    <xf numFmtId="0" fontId="28" fillId="25" borderId="56" xfId="3032" applyFont="1" applyFill="1" applyBorder="1" applyAlignment="1">
      <alignment horizontal="center" vertical="center"/>
    </xf>
    <xf numFmtId="0" fontId="28" fillId="25" borderId="57" xfId="3032" applyFont="1" applyFill="1" applyBorder="1" applyAlignment="1">
      <alignment horizontal="center" vertical="center" wrapText="1"/>
    </xf>
    <xf numFmtId="0" fontId="28" fillId="25" borderId="55" xfId="3032" applyFont="1" applyFill="1" applyBorder="1" applyAlignment="1">
      <alignment horizontal="center" vertical="center" wrapText="1"/>
    </xf>
    <xf numFmtId="0" fontId="28" fillId="25" borderId="56" xfId="3032" applyFont="1" applyFill="1" applyBorder="1" applyAlignment="1">
      <alignment horizontal="center" vertical="center" wrapText="1"/>
    </xf>
  </cellXfs>
  <cellStyles count="5887">
    <cellStyle name="20% - Accent1" xfId="6" xr:uid="{00000000-0005-0000-0000-000000000000}"/>
    <cellStyle name="20% - Accent2" xfId="7" xr:uid="{00000000-0005-0000-0000-000001000000}"/>
    <cellStyle name="20% - Accent3" xfId="8" xr:uid="{00000000-0005-0000-0000-000002000000}"/>
    <cellStyle name="20% - Accent4" xfId="9" xr:uid="{00000000-0005-0000-0000-000003000000}"/>
    <cellStyle name="20% - Accent5" xfId="10" xr:uid="{00000000-0005-0000-0000-000004000000}"/>
    <cellStyle name="20% - Accent6" xfId="11" xr:uid="{00000000-0005-0000-0000-000005000000}"/>
    <cellStyle name="20% - Ênfase1 2" xfId="176" xr:uid="{00000000-0005-0000-0000-000006000000}"/>
    <cellStyle name="20% - Ênfase2 2" xfId="177" xr:uid="{00000000-0005-0000-0000-000007000000}"/>
    <cellStyle name="20% - Ênfase3 2" xfId="178" xr:uid="{00000000-0005-0000-0000-000008000000}"/>
    <cellStyle name="20% - Ênfase4 2" xfId="179" xr:uid="{00000000-0005-0000-0000-000009000000}"/>
    <cellStyle name="20% - Ênfase5 2" xfId="180" xr:uid="{00000000-0005-0000-0000-00000A000000}"/>
    <cellStyle name="20% - Ênfase6 2" xfId="181" xr:uid="{00000000-0005-0000-0000-00000B000000}"/>
    <cellStyle name="40% - Accent1" xfId="12" xr:uid="{00000000-0005-0000-0000-00000C000000}"/>
    <cellStyle name="40% - Accent2" xfId="13" xr:uid="{00000000-0005-0000-0000-00000D000000}"/>
    <cellStyle name="40% - Accent3" xfId="14" xr:uid="{00000000-0005-0000-0000-00000E000000}"/>
    <cellStyle name="40% - Accent4" xfId="15" xr:uid="{00000000-0005-0000-0000-00000F000000}"/>
    <cellStyle name="40% - Accent5" xfId="16" xr:uid="{00000000-0005-0000-0000-000010000000}"/>
    <cellStyle name="40% - Accent6" xfId="17" xr:uid="{00000000-0005-0000-0000-000011000000}"/>
    <cellStyle name="40% - Ênfase1 2" xfId="182" xr:uid="{00000000-0005-0000-0000-000012000000}"/>
    <cellStyle name="40% - Ênfase2 2" xfId="183" xr:uid="{00000000-0005-0000-0000-000013000000}"/>
    <cellStyle name="40% - Ênfase3 2" xfId="184" xr:uid="{00000000-0005-0000-0000-000014000000}"/>
    <cellStyle name="40% - Ênfase4 2" xfId="185" xr:uid="{00000000-0005-0000-0000-000015000000}"/>
    <cellStyle name="40% - Ênfase5 2" xfId="186" xr:uid="{00000000-0005-0000-0000-000016000000}"/>
    <cellStyle name="40% - Ênfase6 2" xfId="187" xr:uid="{00000000-0005-0000-0000-000017000000}"/>
    <cellStyle name="60% - Accent1" xfId="18" xr:uid="{00000000-0005-0000-0000-000018000000}"/>
    <cellStyle name="60% - Accent2" xfId="19" xr:uid="{00000000-0005-0000-0000-000019000000}"/>
    <cellStyle name="60% - Accent3" xfId="20" xr:uid="{00000000-0005-0000-0000-00001A000000}"/>
    <cellStyle name="60% - Accent4" xfId="21" xr:uid="{00000000-0005-0000-0000-00001B000000}"/>
    <cellStyle name="60% - Accent5" xfId="22" xr:uid="{00000000-0005-0000-0000-00001C000000}"/>
    <cellStyle name="60% - Accent6" xfId="23" xr:uid="{00000000-0005-0000-0000-00001D000000}"/>
    <cellStyle name="60% - Ênfase1 2" xfId="188" xr:uid="{00000000-0005-0000-0000-00001E000000}"/>
    <cellStyle name="60% - Ênfase2 2" xfId="189" xr:uid="{00000000-0005-0000-0000-00001F000000}"/>
    <cellStyle name="60% - Ênfase3 2" xfId="190" xr:uid="{00000000-0005-0000-0000-000020000000}"/>
    <cellStyle name="60% - Ênfase4 2" xfId="191" xr:uid="{00000000-0005-0000-0000-000021000000}"/>
    <cellStyle name="60% - Ênfase5 2" xfId="192" xr:uid="{00000000-0005-0000-0000-000022000000}"/>
    <cellStyle name="60% - Ênfase6 2" xfId="193" xr:uid="{00000000-0005-0000-0000-000023000000}"/>
    <cellStyle name="Accent 1 5" xfId="5742" xr:uid="{00000000-0005-0000-0000-000024000000}"/>
    <cellStyle name="Accent 1 6" xfId="5743" xr:uid="{00000000-0005-0000-0000-000025000000}"/>
    <cellStyle name="Accent 2 6" xfId="5744" xr:uid="{00000000-0005-0000-0000-000026000000}"/>
    <cellStyle name="Accent 2 7" xfId="5745" xr:uid="{00000000-0005-0000-0000-000027000000}"/>
    <cellStyle name="Accent 3 7" xfId="5746" xr:uid="{00000000-0005-0000-0000-000028000000}"/>
    <cellStyle name="Accent 3 8" xfId="5747" xr:uid="{00000000-0005-0000-0000-000029000000}"/>
    <cellStyle name="Accent 4" xfId="5748" xr:uid="{00000000-0005-0000-0000-00002A000000}"/>
    <cellStyle name="Accent 5" xfId="5749" xr:uid="{00000000-0005-0000-0000-00002B000000}"/>
    <cellStyle name="Accent1" xfId="24" xr:uid="{00000000-0005-0000-0000-00002C000000}"/>
    <cellStyle name="Accent2" xfId="25" xr:uid="{00000000-0005-0000-0000-00002D000000}"/>
    <cellStyle name="Accent3" xfId="26" xr:uid="{00000000-0005-0000-0000-00002E000000}"/>
    <cellStyle name="Accent4" xfId="27" xr:uid="{00000000-0005-0000-0000-00002F000000}"/>
    <cellStyle name="Accent5" xfId="28" xr:uid="{00000000-0005-0000-0000-000030000000}"/>
    <cellStyle name="Accent6" xfId="29" xr:uid="{00000000-0005-0000-0000-000031000000}"/>
    <cellStyle name="asd" xfId="30" xr:uid="{00000000-0005-0000-0000-000032000000}"/>
    <cellStyle name="asd 2" xfId="194" xr:uid="{00000000-0005-0000-0000-000033000000}"/>
    <cellStyle name="asd 2 2" xfId="3091" xr:uid="{00000000-0005-0000-0000-000034000000}"/>
    <cellStyle name="asd 3" xfId="3056" xr:uid="{00000000-0005-0000-0000-000035000000}"/>
    <cellStyle name="Bad" xfId="31" xr:uid="{00000000-0005-0000-0000-000036000000}"/>
    <cellStyle name="Bad 8" xfId="5750" xr:uid="{00000000-0005-0000-0000-000037000000}"/>
    <cellStyle name="Bad 9" xfId="5751" xr:uid="{00000000-0005-0000-0000-000038000000}"/>
    <cellStyle name="Bom 2" xfId="195" xr:uid="{00000000-0005-0000-0000-000039000000}"/>
    <cellStyle name="CABEÇALHO" xfId="118" xr:uid="{00000000-0005-0000-0000-00003A000000}"/>
    <cellStyle name="Cabeçalho 1" xfId="196" xr:uid="{00000000-0005-0000-0000-00003B000000}"/>
    <cellStyle name="CABEÇALHO 10" xfId="742" xr:uid="{00000000-0005-0000-0000-00003C000000}"/>
    <cellStyle name="CABEÇALHO 10 2" xfId="1079" xr:uid="{00000000-0005-0000-0000-00003D000000}"/>
    <cellStyle name="CABEÇALHO 10 2 2" xfId="1846" xr:uid="{00000000-0005-0000-0000-00003E000000}"/>
    <cellStyle name="CABEÇALHO 10 2 2 2" xfId="4542" xr:uid="{00000000-0005-0000-0000-00003F000000}"/>
    <cellStyle name="CABEÇALHO 10 2 3" xfId="3776" xr:uid="{00000000-0005-0000-0000-000040000000}"/>
    <cellStyle name="CABEÇALHO 10 3" xfId="1164" xr:uid="{00000000-0005-0000-0000-000041000000}"/>
    <cellStyle name="CABEÇALHO 10 3 2" xfId="1931" xr:uid="{00000000-0005-0000-0000-000042000000}"/>
    <cellStyle name="CABEÇALHO 10 3 2 2" xfId="4627" xr:uid="{00000000-0005-0000-0000-000043000000}"/>
    <cellStyle name="CABEÇALHO 10 3 3" xfId="3861" xr:uid="{00000000-0005-0000-0000-000044000000}"/>
    <cellStyle name="CABEÇALHO 10 4" xfId="1509" xr:uid="{00000000-0005-0000-0000-000045000000}"/>
    <cellStyle name="CABEÇALHO 10 4 2" xfId="4205" xr:uid="{00000000-0005-0000-0000-000046000000}"/>
    <cellStyle name="CABEÇALHO 10 5" xfId="3439" xr:uid="{00000000-0005-0000-0000-000047000000}"/>
    <cellStyle name="CABEÇALHO 11" xfId="603" xr:uid="{00000000-0005-0000-0000-000048000000}"/>
    <cellStyle name="CABEÇALHO 11 2" xfId="940" xr:uid="{00000000-0005-0000-0000-000049000000}"/>
    <cellStyle name="CABEÇALHO 11 2 2" xfId="1707" xr:uid="{00000000-0005-0000-0000-00004A000000}"/>
    <cellStyle name="CABEÇALHO 11 2 2 2" xfId="4403" xr:uid="{00000000-0005-0000-0000-00004B000000}"/>
    <cellStyle name="CABEÇALHO 11 2 3" xfId="3637" xr:uid="{00000000-0005-0000-0000-00004C000000}"/>
    <cellStyle name="CABEÇALHO 11 3" xfId="1145" xr:uid="{00000000-0005-0000-0000-00004D000000}"/>
    <cellStyle name="CABEÇALHO 11 3 2" xfId="1912" xr:uid="{00000000-0005-0000-0000-00004E000000}"/>
    <cellStyle name="CABEÇALHO 11 3 2 2" xfId="4608" xr:uid="{00000000-0005-0000-0000-00004F000000}"/>
    <cellStyle name="CABEÇALHO 11 3 3" xfId="3842" xr:uid="{00000000-0005-0000-0000-000050000000}"/>
    <cellStyle name="CABEÇALHO 11 4" xfId="1370" xr:uid="{00000000-0005-0000-0000-000051000000}"/>
    <cellStyle name="CABEÇALHO 11 4 2" xfId="4066" xr:uid="{00000000-0005-0000-0000-000052000000}"/>
    <cellStyle name="CABEÇALHO 11 5" xfId="3300" xr:uid="{00000000-0005-0000-0000-000053000000}"/>
    <cellStyle name="CABEÇALHO 12" xfId="589" xr:uid="{00000000-0005-0000-0000-000054000000}"/>
    <cellStyle name="CABEÇALHO 12 2" xfId="926" xr:uid="{00000000-0005-0000-0000-000055000000}"/>
    <cellStyle name="CABEÇALHO 12 2 2" xfId="1693" xr:uid="{00000000-0005-0000-0000-000056000000}"/>
    <cellStyle name="CABEÇALHO 12 2 2 2" xfId="4389" xr:uid="{00000000-0005-0000-0000-000057000000}"/>
    <cellStyle name="CABEÇALHO 12 2 3" xfId="3623" xr:uid="{00000000-0005-0000-0000-000058000000}"/>
    <cellStyle name="CABEÇALHO 12 3" xfId="1132" xr:uid="{00000000-0005-0000-0000-000059000000}"/>
    <cellStyle name="CABEÇALHO 12 3 2" xfId="1899" xr:uid="{00000000-0005-0000-0000-00005A000000}"/>
    <cellStyle name="CABEÇALHO 12 3 2 2" xfId="4595" xr:uid="{00000000-0005-0000-0000-00005B000000}"/>
    <cellStyle name="CABEÇALHO 12 3 3" xfId="3829" xr:uid="{00000000-0005-0000-0000-00005C000000}"/>
    <cellStyle name="CABEÇALHO 12 4" xfId="1356" xr:uid="{00000000-0005-0000-0000-00005D000000}"/>
    <cellStyle name="CABEÇALHO 12 4 2" xfId="4052" xr:uid="{00000000-0005-0000-0000-00005E000000}"/>
    <cellStyle name="CABEÇALHO 12 5" xfId="3286" xr:uid="{00000000-0005-0000-0000-00005F000000}"/>
    <cellStyle name="CABEÇALHO 13" xfId="601" xr:uid="{00000000-0005-0000-0000-000060000000}"/>
    <cellStyle name="CABEÇALHO 13 2" xfId="938" xr:uid="{00000000-0005-0000-0000-000061000000}"/>
    <cellStyle name="CABEÇALHO 13 2 2" xfId="1705" xr:uid="{00000000-0005-0000-0000-000062000000}"/>
    <cellStyle name="CABEÇALHO 13 2 2 2" xfId="4401" xr:uid="{00000000-0005-0000-0000-000063000000}"/>
    <cellStyle name="CABEÇALHO 13 2 3" xfId="3635" xr:uid="{00000000-0005-0000-0000-000064000000}"/>
    <cellStyle name="CABEÇALHO 13 3" xfId="1143" xr:uid="{00000000-0005-0000-0000-000065000000}"/>
    <cellStyle name="CABEÇALHO 13 3 2" xfId="1910" xr:uid="{00000000-0005-0000-0000-000066000000}"/>
    <cellStyle name="CABEÇALHO 13 3 2 2" xfId="4606" xr:uid="{00000000-0005-0000-0000-000067000000}"/>
    <cellStyle name="CABEÇALHO 13 3 3" xfId="3840" xr:uid="{00000000-0005-0000-0000-000068000000}"/>
    <cellStyle name="CABEÇALHO 13 4" xfId="1368" xr:uid="{00000000-0005-0000-0000-000069000000}"/>
    <cellStyle name="CABEÇALHO 13 4 2" xfId="4064" xr:uid="{00000000-0005-0000-0000-00006A000000}"/>
    <cellStyle name="CABEÇALHO 13 5" xfId="3298" xr:uid="{00000000-0005-0000-0000-00006B000000}"/>
    <cellStyle name="CABEÇALHO 14" xfId="753" xr:uid="{00000000-0005-0000-0000-00006C000000}"/>
    <cellStyle name="CABEÇALHO 14 2" xfId="1090" xr:uid="{00000000-0005-0000-0000-00006D000000}"/>
    <cellStyle name="CABEÇALHO 14 2 2" xfId="1857" xr:uid="{00000000-0005-0000-0000-00006E000000}"/>
    <cellStyle name="CABEÇALHO 14 2 2 2" xfId="4553" xr:uid="{00000000-0005-0000-0000-00006F000000}"/>
    <cellStyle name="CABEÇALHO 14 2 3" xfId="3787" xr:uid="{00000000-0005-0000-0000-000070000000}"/>
    <cellStyle name="CABEÇALHO 14 3" xfId="1175" xr:uid="{00000000-0005-0000-0000-000071000000}"/>
    <cellStyle name="CABEÇALHO 14 3 2" xfId="1942" xr:uid="{00000000-0005-0000-0000-000072000000}"/>
    <cellStyle name="CABEÇALHO 14 3 2 2" xfId="4638" xr:uid="{00000000-0005-0000-0000-000073000000}"/>
    <cellStyle name="CABEÇALHO 14 3 3" xfId="3872" xr:uid="{00000000-0005-0000-0000-000074000000}"/>
    <cellStyle name="CABEÇALHO 14 4" xfId="1520" xr:uid="{00000000-0005-0000-0000-000075000000}"/>
    <cellStyle name="CABEÇALHO 14 4 2" xfId="4216" xr:uid="{00000000-0005-0000-0000-000076000000}"/>
    <cellStyle name="CABEÇALHO 14 5" xfId="3450" xr:uid="{00000000-0005-0000-0000-000077000000}"/>
    <cellStyle name="CABEÇALHO 15" xfId="751" xr:uid="{00000000-0005-0000-0000-000078000000}"/>
    <cellStyle name="CABEÇALHO 15 2" xfId="1088" xr:uid="{00000000-0005-0000-0000-000079000000}"/>
    <cellStyle name="CABEÇALHO 15 2 2" xfId="1855" xr:uid="{00000000-0005-0000-0000-00007A000000}"/>
    <cellStyle name="CABEÇALHO 15 2 2 2" xfId="4551" xr:uid="{00000000-0005-0000-0000-00007B000000}"/>
    <cellStyle name="CABEÇALHO 15 2 3" xfId="3785" xr:uid="{00000000-0005-0000-0000-00007C000000}"/>
    <cellStyle name="CABEÇALHO 15 3" xfId="1173" xr:uid="{00000000-0005-0000-0000-00007D000000}"/>
    <cellStyle name="CABEÇALHO 15 3 2" xfId="1940" xr:uid="{00000000-0005-0000-0000-00007E000000}"/>
    <cellStyle name="CABEÇALHO 15 3 2 2" xfId="4636" xr:uid="{00000000-0005-0000-0000-00007F000000}"/>
    <cellStyle name="CABEÇALHO 15 3 3" xfId="3870" xr:uid="{00000000-0005-0000-0000-000080000000}"/>
    <cellStyle name="CABEÇALHO 15 4" xfId="1518" xr:uid="{00000000-0005-0000-0000-000081000000}"/>
    <cellStyle name="CABEÇALHO 15 4 2" xfId="4214" xr:uid="{00000000-0005-0000-0000-000082000000}"/>
    <cellStyle name="CABEÇALHO 15 5" xfId="3448" xr:uid="{00000000-0005-0000-0000-000083000000}"/>
    <cellStyle name="CABEÇALHO 16" xfId="574" xr:uid="{00000000-0005-0000-0000-000084000000}"/>
    <cellStyle name="CABEÇALHO 16 2" xfId="911" xr:uid="{00000000-0005-0000-0000-000085000000}"/>
    <cellStyle name="CABEÇALHO 16 2 2" xfId="1678" xr:uid="{00000000-0005-0000-0000-000086000000}"/>
    <cellStyle name="CABEÇALHO 16 2 2 2" xfId="4374" xr:uid="{00000000-0005-0000-0000-000087000000}"/>
    <cellStyle name="CABEÇALHO 16 2 3" xfId="3608" xr:uid="{00000000-0005-0000-0000-000088000000}"/>
    <cellStyle name="CABEÇALHO 16 3" xfId="1119" xr:uid="{00000000-0005-0000-0000-000089000000}"/>
    <cellStyle name="CABEÇALHO 16 3 2" xfId="1886" xr:uid="{00000000-0005-0000-0000-00008A000000}"/>
    <cellStyle name="CABEÇALHO 16 3 2 2" xfId="4582" xr:uid="{00000000-0005-0000-0000-00008B000000}"/>
    <cellStyle name="CABEÇALHO 16 3 3" xfId="3816" xr:uid="{00000000-0005-0000-0000-00008C000000}"/>
    <cellStyle name="CABEÇALHO 16 4" xfId="1341" xr:uid="{00000000-0005-0000-0000-00008D000000}"/>
    <cellStyle name="CABEÇALHO 16 4 2" xfId="4037" xr:uid="{00000000-0005-0000-0000-00008E000000}"/>
    <cellStyle name="CABEÇALHO 16 5" xfId="3271" xr:uid="{00000000-0005-0000-0000-00008F000000}"/>
    <cellStyle name="CABEÇALHO 17" xfId="758" xr:uid="{00000000-0005-0000-0000-000090000000}"/>
    <cellStyle name="CABEÇALHO 17 2" xfId="1095" xr:uid="{00000000-0005-0000-0000-000091000000}"/>
    <cellStyle name="CABEÇALHO 17 2 2" xfId="1862" xr:uid="{00000000-0005-0000-0000-000092000000}"/>
    <cellStyle name="CABEÇALHO 17 2 2 2" xfId="4558" xr:uid="{00000000-0005-0000-0000-000093000000}"/>
    <cellStyle name="CABEÇALHO 17 2 3" xfId="3792" xr:uid="{00000000-0005-0000-0000-000094000000}"/>
    <cellStyle name="CABEÇALHO 17 3" xfId="1180" xr:uid="{00000000-0005-0000-0000-000095000000}"/>
    <cellStyle name="CABEÇALHO 17 3 2" xfId="1947" xr:uid="{00000000-0005-0000-0000-000096000000}"/>
    <cellStyle name="CABEÇALHO 17 3 2 2" xfId="4643" xr:uid="{00000000-0005-0000-0000-000097000000}"/>
    <cellStyle name="CABEÇALHO 17 3 3" xfId="3877" xr:uid="{00000000-0005-0000-0000-000098000000}"/>
    <cellStyle name="CABEÇALHO 17 4" xfId="1525" xr:uid="{00000000-0005-0000-0000-000099000000}"/>
    <cellStyle name="CABEÇALHO 17 4 2" xfId="4221" xr:uid="{00000000-0005-0000-0000-00009A000000}"/>
    <cellStyle name="CABEÇALHO 17 5" xfId="3455" xr:uid="{00000000-0005-0000-0000-00009B000000}"/>
    <cellStyle name="CABEÇALHO 18" xfId="762" xr:uid="{00000000-0005-0000-0000-00009C000000}"/>
    <cellStyle name="CABEÇALHO 18 2" xfId="1099" xr:uid="{00000000-0005-0000-0000-00009D000000}"/>
    <cellStyle name="CABEÇALHO 18 2 2" xfId="1866" xr:uid="{00000000-0005-0000-0000-00009E000000}"/>
    <cellStyle name="CABEÇALHO 18 2 2 2" xfId="4562" xr:uid="{00000000-0005-0000-0000-00009F000000}"/>
    <cellStyle name="CABEÇALHO 18 2 3" xfId="3796" xr:uid="{00000000-0005-0000-0000-0000A0000000}"/>
    <cellStyle name="CABEÇALHO 18 3" xfId="1184" xr:uid="{00000000-0005-0000-0000-0000A1000000}"/>
    <cellStyle name="CABEÇALHO 18 3 2" xfId="1951" xr:uid="{00000000-0005-0000-0000-0000A2000000}"/>
    <cellStyle name="CABEÇALHO 18 3 2 2" xfId="4647" xr:uid="{00000000-0005-0000-0000-0000A3000000}"/>
    <cellStyle name="CABEÇALHO 18 3 3" xfId="3881" xr:uid="{00000000-0005-0000-0000-0000A4000000}"/>
    <cellStyle name="CABEÇALHO 18 4" xfId="1529" xr:uid="{00000000-0005-0000-0000-0000A5000000}"/>
    <cellStyle name="CABEÇALHO 18 4 2" xfId="4225" xr:uid="{00000000-0005-0000-0000-0000A6000000}"/>
    <cellStyle name="CABEÇALHO 18 5" xfId="3459" xr:uid="{00000000-0005-0000-0000-0000A7000000}"/>
    <cellStyle name="CABEÇALHO 19" xfId="744" xr:uid="{00000000-0005-0000-0000-0000A8000000}"/>
    <cellStyle name="CABEÇALHO 19 2" xfId="1081" xr:uid="{00000000-0005-0000-0000-0000A9000000}"/>
    <cellStyle name="CABEÇALHO 19 2 2" xfId="1848" xr:uid="{00000000-0005-0000-0000-0000AA000000}"/>
    <cellStyle name="CABEÇALHO 19 2 2 2" xfId="4544" xr:uid="{00000000-0005-0000-0000-0000AB000000}"/>
    <cellStyle name="CABEÇALHO 19 2 3" xfId="3778" xr:uid="{00000000-0005-0000-0000-0000AC000000}"/>
    <cellStyle name="CABEÇALHO 19 3" xfId="1166" xr:uid="{00000000-0005-0000-0000-0000AD000000}"/>
    <cellStyle name="CABEÇALHO 19 3 2" xfId="1933" xr:uid="{00000000-0005-0000-0000-0000AE000000}"/>
    <cellStyle name="CABEÇALHO 19 3 2 2" xfId="4629" xr:uid="{00000000-0005-0000-0000-0000AF000000}"/>
    <cellStyle name="CABEÇALHO 19 3 3" xfId="3863" xr:uid="{00000000-0005-0000-0000-0000B0000000}"/>
    <cellStyle name="CABEÇALHO 19 4" xfId="1511" xr:uid="{00000000-0005-0000-0000-0000B1000000}"/>
    <cellStyle name="CABEÇALHO 19 4 2" xfId="4207" xr:uid="{00000000-0005-0000-0000-0000B2000000}"/>
    <cellStyle name="CABEÇALHO 19 5" xfId="3441" xr:uid="{00000000-0005-0000-0000-0000B3000000}"/>
    <cellStyle name="Cabeçalho 2" xfId="197" xr:uid="{00000000-0005-0000-0000-0000B4000000}"/>
    <cellStyle name="CABEÇALHO 20" xfId="764" xr:uid="{00000000-0005-0000-0000-0000B5000000}"/>
    <cellStyle name="CABEÇALHO 20 2" xfId="1101" xr:uid="{00000000-0005-0000-0000-0000B6000000}"/>
    <cellStyle name="CABEÇALHO 20 2 2" xfId="1868" xr:uid="{00000000-0005-0000-0000-0000B7000000}"/>
    <cellStyle name="CABEÇALHO 20 2 2 2" xfId="4564" xr:uid="{00000000-0005-0000-0000-0000B8000000}"/>
    <cellStyle name="CABEÇALHO 20 2 3" xfId="3798" xr:uid="{00000000-0005-0000-0000-0000B9000000}"/>
    <cellStyle name="CABEÇALHO 20 3" xfId="1186" xr:uid="{00000000-0005-0000-0000-0000BA000000}"/>
    <cellStyle name="CABEÇALHO 20 3 2" xfId="1953" xr:uid="{00000000-0005-0000-0000-0000BB000000}"/>
    <cellStyle name="CABEÇALHO 20 3 2 2" xfId="4649" xr:uid="{00000000-0005-0000-0000-0000BC000000}"/>
    <cellStyle name="CABEÇALHO 20 3 3" xfId="3883" xr:uid="{00000000-0005-0000-0000-0000BD000000}"/>
    <cellStyle name="CABEÇALHO 20 4" xfId="1531" xr:uid="{00000000-0005-0000-0000-0000BE000000}"/>
    <cellStyle name="CABEÇALHO 20 4 2" xfId="4227" xr:uid="{00000000-0005-0000-0000-0000BF000000}"/>
    <cellStyle name="CABEÇALHO 20 5" xfId="3461" xr:uid="{00000000-0005-0000-0000-0000C0000000}"/>
    <cellStyle name="CABEÇALHO 21" xfId="756" xr:uid="{00000000-0005-0000-0000-0000C1000000}"/>
    <cellStyle name="CABEÇALHO 21 2" xfId="1093" xr:uid="{00000000-0005-0000-0000-0000C2000000}"/>
    <cellStyle name="CABEÇALHO 21 2 2" xfId="1860" xr:uid="{00000000-0005-0000-0000-0000C3000000}"/>
    <cellStyle name="CABEÇALHO 21 2 2 2" xfId="4556" xr:uid="{00000000-0005-0000-0000-0000C4000000}"/>
    <cellStyle name="CABEÇALHO 21 2 3" xfId="3790" xr:uid="{00000000-0005-0000-0000-0000C5000000}"/>
    <cellStyle name="CABEÇALHO 21 3" xfId="1178" xr:uid="{00000000-0005-0000-0000-0000C6000000}"/>
    <cellStyle name="CABEÇALHO 21 3 2" xfId="1945" xr:uid="{00000000-0005-0000-0000-0000C7000000}"/>
    <cellStyle name="CABEÇALHO 21 3 2 2" xfId="4641" xr:uid="{00000000-0005-0000-0000-0000C8000000}"/>
    <cellStyle name="CABEÇALHO 21 3 3" xfId="3875" xr:uid="{00000000-0005-0000-0000-0000C9000000}"/>
    <cellStyle name="CABEÇALHO 21 4" xfId="1523" xr:uid="{00000000-0005-0000-0000-0000CA000000}"/>
    <cellStyle name="CABEÇALHO 21 4 2" xfId="4219" xr:uid="{00000000-0005-0000-0000-0000CB000000}"/>
    <cellStyle name="CABEÇALHO 21 5" xfId="3453" xr:uid="{00000000-0005-0000-0000-0000CC000000}"/>
    <cellStyle name="CABEÇALHO 22" xfId="765" xr:uid="{00000000-0005-0000-0000-0000CD000000}"/>
    <cellStyle name="CABEÇALHO 22 2" xfId="1102" xr:uid="{00000000-0005-0000-0000-0000CE000000}"/>
    <cellStyle name="CABEÇALHO 22 2 2" xfId="1869" xr:uid="{00000000-0005-0000-0000-0000CF000000}"/>
    <cellStyle name="CABEÇALHO 22 2 2 2" xfId="4565" xr:uid="{00000000-0005-0000-0000-0000D0000000}"/>
    <cellStyle name="CABEÇALHO 22 2 3" xfId="3799" xr:uid="{00000000-0005-0000-0000-0000D1000000}"/>
    <cellStyle name="CABEÇALHO 22 3" xfId="1187" xr:uid="{00000000-0005-0000-0000-0000D2000000}"/>
    <cellStyle name="CABEÇALHO 22 3 2" xfId="1954" xr:uid="{00000000-0005-0000-0000-0000D3000000}"/>
    <cellStyle name="CABEÇALHO 22 3 2 2" xfId="4650" xr:uid="{00000000-0005-0000-0000-0000D4000000}"/>
    <cellStyle name="CABEÇALHO 22 3 3" xfId="3884" xr:uid="{00000000-0005-0000-0000-0000D5000000}"/>
    <cellStyle name="CABEÇALHO 22 4" xfId="1532" xr:uid="{00000000-0005-0000-0000-0000D6000000}"/>
    <cellStyle name="CABEÇALHO 22 4 2" xfId="4228" xr:uid="{00000000-0005-0000-0000-0000D7000000}"/>
    <cellStyle name="CABEÇALHO 22 5" xfId="3462" xr:uid="{00000000-0005-0000-0000-0000D8000000}"/>
    <cellStyle name="CABEÇALHO 23" xfId="739" xr:uid="{00000000-0005-0000-0000-0000D9000000}"/>
    <cellStyle name="CABEÇALHO 23 2" xfId="1076" xr:uid="{00000000-0005-0000-0000-0000DA000000}"/>
    <cellStyle name="CABEÇALHO 23 2 2" xfId="1843" xr:uid="{00000000-0005-0000-0000-0000DB000000}"/>
    <cellStyle name="CABEÇALHO 23 2 2 2" xfId="4539" xr:uid="{00000000-0005-0000-0000-0000DC000000}"/>
    <cellStyle name="CABEÇALHO 23 2 3" xfId="3773" xr:uid="{00000000-0005-0000-0000-0000DD000000}"/>
    <cellStyle name="CABEÇALHO 23 3" xfId="1161" xr:uid="{00000000-0005-0000-0000-0000DE000000}"/>
    <cellStyle name="CABEÇALHO 23 3 2" xfId="1928" xr:uid="{00000000-0005-0000-0000-0000DF000000}"/>
    <cellStyle name="CABEÇALHO 23 3 2 2" xfId="4624" xr:uid="{00000000-0005-0000-0000-0000E0000000}"/>
    <cellStyle name="CABEÇALHO 23 3 3" xfId="3858" xr:uid="{00000000-0005-0000-0000-0000E1000000}"/>
    <cellStyle name="CABEÇALHO 23 4" xfId="1506" xr:uid="{00000000-0005-0000-0000-0000E2000000}"/>
    <cellStyle name="CABEÇALHO 23 4 2" xfId="4202" xr:uid="{00000000-0005-0000-0000-0000E3000000}"/>
    <cellStyle name="CABEÇALHO 23 5" xfId="3436" xr:uid="{00000000-0005-0000-0000-0000E4000000}"/>
    <cellStyle name="CABEÇALHO 24" xfId="611" xr:uid="{00000000-0005-0000-0000-0000E5000000}"/>
    <cellStyle name="CABEÇALHO 24 2" xfId="948" xr:uid="{00000000-0005-0000-0000-0000E6000000}"/>
    <cellStyle name="CABEÇALHO 24 2 2" xfId="1715" xr:uid="{00000000-0005-0000-0000-0000E7000000}"/>
    <cellStyle name="CABEÇALHO 24 2 2 2" xfId="4411" xr:uid="{00000000-0005-0000-0000-0000E8000000}"/>
    <cellStyle name="CABEÇALHO 24 2 3" xfId="3645" xr:uid="{00000000-0005-0000-0000-0000E9000000}"/>
    <cellStyle name="CABEÇALHO 24 3" xfId="1152" xr:uid="{00000000-0005-0000-0000-0000EA000000}"/>
    <cellStyle name="CABEÇALHO 24 3 2" xfId="1919" xr:uid="{00000000-0005-0000-0000-0000EB000000}"/>
    <cellStyle name="CABEÇALHO 24 3 2 2" xfId="4615" xr:uid="{00000000-0005-0000-0000-0000EC000000}"/>
    <cellStyle name="CABEÇALHO 24 3 3" xfId="3849" xr:uid="{00000000-0005-0000-0000-0000ED000000}"/>
    <cellStyle name="CABEÇALHO 24 4" xfId="1378" xr:uid="{00000000-0005-0000-0000-0000EE000000}"/>
    <cellStyle name="CABEÇALHO 24 4 2" xfId="4074" xr:uid="{00000000-0005-0000-0000-0000EF000000}"/>
    <cellStyle name="CABEÇALHO 24 5" xfId="3308" xr:uid="{00000000-0005-0000-0000-0000F0000000}"/>
    <cellStyle name="CABEÇALHO 25" xfId="586" xr:uid="{00000000-0005-0000-0000-0000F1000000}"/>
    <cellStyle name="CABEÇALHO 25 2" xfId="923" xr:uid="{00000000-0005-0000-0000-0000F2000000}"/>
    <cellStyle name="CABEÇALHO 25 2 2" xfId="1690" xr:uid="{00000000-0005-0000-0000-0000F3000000}"/>
    <cellStyle name="CABEÇALHO 25 2 2 2" xfId="4386" xr:uid="{00000000-0005-0000-0000-0000F4000000}"/>
    <cellStyle name="CABEÇALHO 25 2 3" xfId="3620" xr:uid="{00000000-0005-0000-0000-0000F5000000}"/>
    <cellStyle name="CABEÇALHO 25 3" xfId="1129" xr:uid="{00000000-0005-0000-0000-0000F6000000}"/>
    <cellStyle name="CABEÇALHO 25 3 2" xfId="1896" xr:uid="{00000000-0005-0000-0000-0000F7000000}"/>
    <cellStyle name="CABEÇALHO 25 3 2 2" xfId="4592" xr:uid="{00000000-0005-0000-0000-0000F8000000}"/>
    <cellStyle name="CABEÇALHO 25 3 3" xfId="3826" xr:uid="{00000000-0005-0000-0000-0000F9000000}"/>
    <cellStyle name="CABEÇALHO 25 4" xfId="1353" xr:uid="{00000000-0005-0000-0000-0000FA000000}"/>
    <cellStyle name="CABEÇALHO 25 4 2" xfId="4049" xr:uid="{00000000-0005-0000-0000-0000FB000000}"/>
    <cellStyle name="CABEÇALHO 25 5" xfId="3283" xr:uid="{00000000-0005-0000-0000-0000FC000000}"/>
    <cellStyle name="CABEÇALHO 26" xfId="745" xr:uid="{00000000-0005-0000-0000-0000FD000000}"/>
    <cellStyle name="CABEÇALHO 26 2" xfId="1082" xr:uid="{00000000-0005-0000-0000-0000FE000000}"/>
    <cellStyle name="CABEÇALHO 26 2 2" xfId="1849" xr:uid="{00000000-0005-0000-0000-0000FF000000}"/>
    <cellStyle name="CABEÇALHO 26 2 2 2" xfId="4545" xr:uid="{00000000-0005-0000-0000-000000010000}"/>
    <cellStyle name="CABEÇALHO 26 2 3" xfId="3779" xr:uid="{00000000-0005-0000-0000-000001010000}"/>
    <cellStyle name="CABEÇALHO 26 3" xfId="1167" xr:uid="{00000000-0005-0000-0000-000002010000}"/>
    <cellStyle name="CABEÇALHO 26 3 2" xfId="1934" xr:uid="{00000000-0005-0000-0000-000003010000}"/>
    <cellStyle name="CABEÇALHO 26 3 2 2" xfId="4630" xr:uid="{00000000-0005-0000-0000-000004010000}"/>
    <cellStyle name="CABEÇALHO 26 3 3" xfId="3864" xr:uid="{00000000-0005-0000-0000-000005010000}"/>
    <cellStyle name="CABEÇALHO 26 4" xfId="1512" xr:uid="{00000000-0005-0000-0000-000006010000}"/>
    <cellStyle name="CABEÇALHO 26 4 2" xfId="4208" xr:uid="{00000000-0005-0000-0000-000007010000}"/>
    <cellStyle name="CABEÇALHO 26 5" xfId="3442" xr:uid="{00000000-0005-0000-0000-000008010000}"/>
    <cellStyle name="CABEÇALHO 27" xfId="608" xr:uid="{00000000-0005-0000-0000-000009010000}"/>
    <cellStyle name="CABEÇALHO 27 2" xfId="945" xr:uid="{00000000-0005-0000-0000-00000A010000}"/>
    <cellStyle name="CABEÇALHO 27 2 2" xfId="1712" xr:uid="{00000000-0005-0000-0000-00000B010000}"/>
    <cellStyle name="CABEÇALHO 27 2 2 2" xfId="4408" xr:uid="{00000000-0005-0000-0000-00000C010000}"/>
    <cellStyle name="CABEÇALHO 27 2 3" xfId="3642" xr:uid="{00000000-0005-0000-0000-00000D010000}"/>
    <cellStyle name="CABEÇALHO 27 3" xfId="1149" xr:uid="{00000000-0005-0000-0000-00000E010000}"/>
    <cellStyle name="CABEÇALHO 27 3 2" xfId="1916" xr:uid="{00000000-0005-0000-0000-00000F010000}"/>
    <cellStyle name="CABEÇALHO 27 3 2 2" xfId="4612" xr:uid="{00000000-0005-0000-0000-000010010000}"/>
    <cellStyle name="CABEÇALHO 27 3 3" xfId="3846" xr:uid="{00000000-0005-0000-0000-000011010000}"/>
    <cellStyle name="CABEÇALHO 27 4" xfId="1375" xr:uid="{00000000-0005-0000-0000-000012010000}"/>
    <cellStyle name="CABEÇALHO 27 4 2" xfId="4071" xr:uid="{00000000-0005-0000-0000-000013010000}"/>
    <cellStyle name="CABEÇALHO 27 5" xfId="3305" xr:uid="{00000000-0005-0000-0000-000014010000}"/>
    <cellStyle name="CABEÇALHO 28" xfId="592" xr:uid="{00000000-0005-0000-0000-000015010000}"/>
    <cellStyle name="CABEÇALHO 28 2" xfId="929" xr:uid="{00000000-0005-0000-0000-000016010000}"/>
    <cellStyle name="CABEÇALHO 28 2 2" xfId="1696" xr:uid="{00000000-0005-0000-0000-000017010000}"/>
    <cellStyle name="CABEÇALHO 28 2 2 2" xfId="4392" xr:uid="{00000000-0005-0000-0000-000018010000}"/>
    <cellStyle name="CABEÇALHO 28 2 3" xfId="3626" xr:uid="{00000000-0005-0000-0000-000019010000}"/>
    <cellStyle name="CABEÇALHO 28 3" xfId="1135" xr:uid="{00000000-0005-0000-0000-00001A010000}"/>
    <cellStyle name="CABEÇALHO 28 3 2" xfId="1902" xr:uid="{00000000-0005-0000-0000-00001B010000}"/>
    <cellStyle name="CABEÇALHO 28 3 2 2" xfId="4598" xr:uid="{00000000-0005-0000-0000-00001C010000}"/>
    <cellStyle name="CABEÇALHO 28 3 3" xfId="3832" xr:uid="{00000000-0005-0000-0000-00001D010000}"/>
    <cellStyle name="CABEÇALHO 28 4" xfId="1359" xr:uid="{00000000-0005-0000-0000-00001E010000}"/>
    <cellStyle name="CABEÇALHO 28 4 2" xfId="4055" xr:uid="{00000000-0005-0000-0000-00001F010000}"/>
    <cellStyle name="CABEÇALHO 28 5" xfId="3289" xr:uid="{00000000-0005-0000-0000-000020010000}"/>
    <cellStyle name="CABEÇALHO 29" xfId="593" xr:uid="{00000000-0005-0000-0000-000021010000}"/>
    <cellStyle name="CABEÇALHO 29 2" xfId="930" xr:uid="{00000000-0005-0000-0000-000022010000}"/>
    <cellStyle name="CABEÇALHO 29 2 2" xfId="1697" xr:uid="{00000000-0005-0000-0000-000023010000}"/>
    <cellStyle name="CABEÇALHO 29 2 2 2" xfId="4393" xr:uid="{00000000-0005-0000-0000-000024010000}"/>
    <cellStyle name="CABEÇALHO 29 2 3" xfId="3627" xr:uid="{00000000-0005-0000-0000-000025010000}"/>
    <cellStyle name="CABEÇALHO 29 3" xfId="1136" xr:uid="{00000000-0005-0000-0000-000026010000}"/>
    <cellStyle name="CABEÇALHO 29 3 2" xfId="1903" xr:uid="{00000000-0005-0000-0000-000027010000}"/>
    <cellStyle name="CABEÇALHO 29 3 2 2" xfId="4599" xr:uid="{00000000-0005-0000-0000-000028010000}"/>
    <cellStyle name="CABEÇALHO 29 3 3" xfId="3833" xr:uid="{00000000-0005-0000-0000-000029010000}"/>
    <cellStyle name="CABEÇALHO 29 4" xfId="1360" xr:uid="{00000000-0005-0000-0000-00002A010000}"/>
    <cellStyle name="CABEÇALHO 29 4 2" xfId="4056" xr:uid="{00000000-0005-0000-0000-00002B010000}"/>
    <cellStyle name="CABEÇALHO 29 5" xfId="3290" xr:uid="{00000000-0005-0000-0000-00002C010000}"/>
    <cellStyle name="CABEÇALHO 3" xfId="441" xr:uid="{00000000-0005-0000-0000-00002D010000}"/>
    <cellStyle name="CABEÇALHO 3 10" xfId="602" xr:uid="{00000000-0005-0000-0000-00002E010000}"/>
    <cellStyle name="CABEÇALHO 3 10 2" xfId="939" xr:uid="{00000000-0005-0000-0000-00002F010000}"/>
    <cellStyle name="CABEÇALHO 3 10 2 2" xfId="1706" xr:uid="{00000000-0005-0000-0000-000030010000}"/>
    <cellStyle name="CABEÇALHO 3 10 2 2 2" xfId="4402" xr:uid="{00000000-0005-0000-0000-000031010000}"/>
    <cellStyle name="CABEÇALHO 3 10 2 3" xfId="3636" xr:uid="{00000000-0005-0000-0000-000032010000}"/>
    <cellStyle name="CABEÇALHO 3 10 3" xfId="1144" xr:uid="{00000000-0005-0000-0000-000033010000}"/>
    <cellStyle name="CABEÇALHO 3 10 3 2" xfId="1911" xr:uid="{00000000-0005-0000-0000-000034010000}"/>
    <cellStyle name="CABEÇALHO 3 10 3 2 2" xfId="4607" xr:uid="{00000000-0005-0000-0000-000035010000}"/>
    <cellStyle name="CABEÇALHO 3 10 3 3" xfId="3841" xr:uid="{00000000-0005-0000-0000-000036010000}"/>
    <cellStyle name="CABEÇALHO 3 10 4" xfId="1369" xr:uid="{00000000-0005-0000-0000-000037010000}"/>
    <cellStyle name="CABEÇALHO 3 10 4 2" xfId="4065" xr:uid="{00000000-0005-0000-0000-000038010000}"/>
    <cellStyle name="CABEÇALHO 3 10 5" xfId="3299" xr:uid="{00000000-0005-0000-0000-000039010000}"/>
    <cellStyle name="CABEÇALHO 3 11" xfId="587" xr:uid="{00000000-0005-0000-0000-00003A010000}"/>
    <cellStyle name="CABEÇALHO 3 11 2" xfId="924" xr:uid="{00000000-0005-0000-0000-00003B010000}"/>
    <cellStyle name="CABEÇALHO 3 11 2 2" xfId="1691" xr:uid="{00000000-0005-0000-0000-00003C010000}"/>
    <cellStyle name="CABEÇALHO 3 11 2 2 2" xfId="4387" xr:uid="{00000000-0005-0000-0000-00003D010000}"/>
    <cellStyle name="CABEÇALHO 3 11 2 3" xfId="3621" xr:uid="{00000000-0005-0000-0000-00003E010000}"/>
    <cellStyle name="CABEÇALHO 3 11 3" xfId="1130" xr:uid="{00000000-0005-0000-0000-00003F010000}"/>
    <cellStyle name="CABEÇALHO 3 11 3 2" xfId="1897" xr:uid="{00000000-0005-0000-0000-000040010000}"/>
    <cellStyle name="CABEÇALHO 3 11 3 2 2" xfId="4593" xr:uid="{00000000-0005-0000-0000-000041010000}"/>
    <cellStyle name="CABEÇALHO 3 11 3 3" xfId="3827" xr:uid="{00000000-0005-0000-0000-000042010000}"/>
    <cellStyle name="CABEÇALHO 3 11 4" xfId="1354" xr:uid="{00000000-0005-0000-0000-000043010000}"/>
    <cellStyle name="CABEÇALHO 3 11 4 2" xfId="4050" xr:uid="{00000000-0005-0000-0000-000044010000}"/>
    <cellStyle name="CABEÇALHO 3 11 5" xfId="3284" xr:uid="{00000000-0005-0000-0000-000045010000}"/>
    <cellStyle name="CABEÇALHO 3 12" xfId="607" xr:uid="{00000000-0005-0000-0000-000046010000}"/>
    <cellStyle name="CABEÇALHO 3 12 2" xfId="944" xr:uid="{00000000-0005-0000-0000-000047010000}"/>
    <cellStyle name="CABEÇALHO 3 12 2 2" xfId="1711" xr:uid="{00000000-0005-0000-0000-000048010000}"/>
    <cellStyle name="CABEÇALHO 3 12 2 2 2" xfId="4407" xr:uid="{00000000-0005-0000-0000-000049010000}"/>
    <cellStyle name="CABEÇALHO 3 12 2 3" xfId="3641" xr:uid="{00000000-0005-0000-0000-00004A010000}"/>
    <cellStyle name="CABEÇALHO 3 12 3" xfId="1148" xr:uid="{00000000-0005-0000-0000-00004B010000}"/>
    <cellStyle name="CABEÇALHO 3 12 3 2" xfId="1915" xr:uid="{00000000-0005-0000-0000-00004C010000}"/>
    <cellStyle name="CABEÇALHO 3 12 3 2 2" xfId="4611" xr:uid="{00000000-0005-0000-0000-00004D010000}"/>
    <cellStyle name="CABEÇALHO 3 12 3 3" xfId="3845" xr:uid="{00000000-0005-0000-0000-00004E010000}"/>
    <cellStyle name="CABEÇALHO 3 12 4" xfId="1374" xr:uid="{00000000-0005-0000-0000-00004F010000}"/>
    <cellStyle name="CABEÇALHO 3 12 4 2" xfId="4070" xr:uid="{00000000-0005-0000-0000-000050010000}"/>
    <cellStyle name="CABEÇALHO 3 12 5" xfId="3304" xr:uid="{00000000-0005-0000-0000-000051010000}"/>
    <cellStyle name="CABEÇALHO 3 13" xfId="738" xr:uid="{00000000-0005-0000-0000-000052010000}"/>
    <cellStyle name="CABEÇALHO 3 13 2" xfId="1075" xr:uid="{00000000-0005-0000-0000-000053010000}"/>
    <cellStyle name="CABEÇALHO 3 13 2 2" xfId="1842" xr:uid="{00000000-0005-0000-0000-000054010000}"/>
    <cellStyle name="CABEÇALHO 3 13 2 2 2" xfId="4538" xr:uid="{00000000-0005-0000-0000-000055010000}"/>
    <cellStyle name="CABEÇALHO 3 13 2 3" xfId="3772" xr:uid="{00000000-0005-0000-0000-000056010000}"/>
    <cellStyle name="CABEÇALHO 3 13 3" xfId="1160" xr:uid="{00000000-0005-0000-0000-000057010000}"/>
    <cellStyle name="CABEÇALHO 3 13 3 2" xfId="1927" xr:uid="{00000000-0005-0000-0000-000058010000}"/>
    <cellStyle name="CABEÇALHO 3 13 3 2 2" xfId="4623" xr:uid="{00000000-0005-0000-0000-000059010000}"/>
    <cellStyle name="CABEÇALHO 3 13 3 3" xfId="3857" xr:uid="{00000000-0005-0000-0000-00005A010000}"/>
    <cellStyle name="CABEÇALHO 3 13 4" xfId="1505" xr:uid="{00000000-0005-0000-0000-00005B010000}"/>
    <cellStyle name="CABEÇALHO 3 13 4 2" xfId="4201" xr:uid="{00000000-0005-0000-0000-00005C010000}"/>
    <cellStyle name="CABEÇALHO 3 13 5" xfId="3435" xr:uid="{00000000-0005-0000-0000-00005D010000}"/>
    <cellStyle name="CABEÇALHO 3 14" xfId="600" xr:uid="{00000000-0005-0000-0000-00005E010000}"/>
    <cellStyle name="CABEÇALHO 3 14 2" xfId="937" xr:uid="{00000000-0005-0000-0000-00005F010000}"/>
    <cellStyle name="CABEÇALHO 3 14 2 2" xfId="1704" xr:uid="{00000000-0005-0000-0000-000060010000}"/>
    <cellStyle name="CABEÇALHO 3 14 2 2 2" xfId="4400" xr:uid="{00000000-0005-0000-0000-000061010000}"/>
    <cellStyle name="CABEÇALHO 3 14 2 3" xfId="3634" xr:uid="{00000000-0005-0000-0000-000062010000}"/>
    <cellStyle name="CABEÇALHO 3 14 3" xfId="1142" xr:uid="{00000000-0005-0000-0000-000063010000}"/>
    <cellStyle name="CABEÇALHO 3 14 3 2" xfId="1909" xr:uid="{00000000-0005-0000-0000-000064010000}"/>
    <cellStyle name="CABEÇALHO 3 14 3 2 2" xfId="4605" xr:uid="{00000000-0005-0000-0000-000065010000}"/>
    <cellStyle name="CABEÇALHO 3 14 3 3" xfId="3839" xr:uid="{00000000-0005-0000-0000-000066010000}"/>
    <cellStyle name="CABEÇALHO 3 14 4" xfId="1367" xr:uid="{00000000-0005-0000-0000-000067010000}"/>
    <cellStyle name="CABEÇALHO 3 14 4 2" xfId="4063" xr:uid="{00000000-0005-0000-0000-000068010000}"/>
    <cellStyle name="CABEÇALHO 3 14 5" xfId="3297" xr:uid="{00000000-0005-0000-0000-000069010000}"/>
    <cellStyle name="CABEÇALHO 3 15" xfId="746" xr:uid="{00000000-0005-0000-0000-00006A010000}"/>
    <cellStyle name="CABEÇALHO 3 15 2" xfId="1083" xr:uid="{00000000-0005-0000-0000-00006B010000}"/>
    <cellStyle name="CABEÇALHO 3 15 2 2" xfId="1850" xr:uid="{00000000-0005-0000-0000-00006C010000}"/>
    <cellStyle name="CABEÇALHO 3 15 2 2 2" xfId="4546" xr:uid="{00000000-0005-0000-0000-00006D010000}"/>
    <cellStyle name="CABEÇALHO 3 15 2 3" xfId="3780" xr:uid="{00000000-0005-0000-0000-00006E010000}"/>
    <cellStyle name="CABEÇALHO 3 15 3" xfId="1168" xr:uid="{00000000-0005-0000-0000-00006F010000}"/>
    <cellStyle name="CABEÇALHO 3 15 3 2" xfId="1935" xr:uid="{00000000-0005-0000-0000-000070010000}"/>
    <cellStyle name="CABEÇALHO 3 15 3 2 2" xfId="4631" xr:uid="{00000000-0005-0000-0000-000071010000}"/>
    <cellStyle name="CABEÇALHO 3 15 3 3" xfId="3865" xr:uid="{00000000-0005-0000-0000-000072010000}"/>
    <cellStyle name="CABEÇALHO 3 15 4" xfId="1513" xr:uid="{00000000-0005-0000-0000-000073010000}"/>
    <cellStyle name="CABEÇALHO 3 15 4 2" xfId="4209" xr:uid="{00000000-0005-0000-0000-000074010000}"/>
    <cellStyle name="CABEÇALHO 3 15 5" xfId="3443" xr:uid="{00000000-0005-0000-0000-000075010000}"/>
    <cellStyle name="CABEÇALHO 3 16" xfId="566" xr:uid="{00000000-0005-0000-0000-000076010000}"/>
    <cellStyle name="CABEÇALHO 3 16 2" xfId="903" xr:uid="{00000000-0005-0000-0000-000077010000}"/>
    <cellStyle name="CABEÇALHO 3 16 2 2" xfId="1670" xr:uid="{00000000-0005-0000-0000-000078010000}"/>
    <cellStyle name="CABEÇALHO 3 16 2 2 2" xfId="4366" xr:uid="{00000000-0005-0000-0000-000079010000}"/>
    <cellStyle name="CABEÇALHO 3 16 2 3" xfId="3600" xr:uid="{00000000-0005-0000-0000-00007A010000}"/>
    <cellStyle name="CABEÇALHO 3 16 3" xfId="1112" xr:uid="{00000000-0005-0000-0000-00007B010000}"/>
    <cellStyle name="CABEÇALHO 3 16 3 2" xfId="1879" xr:uid="{00000000-0005-0000-0000-00007C010000}"/>
    <cellStyle name="CABEÇALHO 3 16 3 2 2" xfId="4575" xr:uid="{00000000-0005-0000-0000-00007D010000}"/>
    <cellStyle name="CABEÇALHO 3 16 3 3" xfId="3809" xr:uid="{00000000-0005-0000-0000-00007E010000}"/>
    <cellStyle name="CABEÇALHO 3 16 4" xfId="1333" xr:uid="{00000000-0005-0000-0000-00007F010000}"/>
    <cellStyle name="CABEÇALHO 3 16 4 2" xfId="4029" xr:uid="{00000000-0005-0000-0000-000080010000}"/>
    <cellStyle name="CABEÇALHO 3 16 5" xfId="3263" xr:uid="{00000000-0005-0000-0000-000081010000}"/>
    <cellStyle name="CABEÇALHO 3 17" xfId="578" xr:uid="{00000000-0005-0000-0000-000082010000}"/>
    <cellStyle name="CABEÇALHO 3 17 2" xfId="915" xr:uid="{00000000-0005-0000-0000-000083010000}"/>
    <cellStyle name="CABEÇALHO 3 17 2 2" xfId="1682" xr:uid="{00000000-0005-0000-0000-000084010000}"/>
    <cellStyle name="CABEÇALHO 3 17 2 2 2" xfId="4378" xr:uid="{00000000-0005-0000-0000-000085010000}"/>
    <cellStyle name="CABEÇALHO 3 17 2 3" xfId="3612" xr:uid="{00000000-0005-0000-0000-000086010000}"/>
    <cellStyle name="CABEÇALHO 3 17 3" xfId="1122" xr:uid="{00000000-0005-0000-0000-000087010000}"/>
    <cellStyle name="CABEÇALHO 3 17 3 2" xfId="1889" xr:uid="{00000000-0005-0000-0000-000088010000}"/>
    <cellStyle name="CABEÇALHO 3 17 3 2 2" xfId="4585" xr:uid="{00000000-0005-0000-0000-000089010000}"/>
    <cellStyle name="CABEÇALHO 3 17 3 3" xfId="3819" xr:uid="{00000000-0005-0000-0000-00008A010000}"/>
    <cellStyle name="CABEÇALHO 3 17 4" xfId="1345" xr:uid="{00000000-0005-0000-0000-00008B010000}"/>
    <cellStyle name="CABEÇALHO 3 17 4 2" xfId="4041" xr:uid="{00000000-0005-0000-0000-00008C010000}"/>
    <cellStyle name="CABEÇALHO 3 17 5" xfId="3275" xr:uid="{00000000-0005-0000-0000-00008D010000}"/>
    <cellStyle name="CABEÇALHO 3 18" xfId="779" xr:uid="{00000000-0005-0000-0000-00008E010000}"/>
    <cellStyle name="CABEÇALHO 3 18 2" xfId="1546" xr:uid="{00000000-0005-0000-0000-00008F010000}"/>
    <cellStyle name="CABEÇALHO 3 18 2 2" xfId="4242" xr:uid="{00000000-0005-0000-0000-000090010000}"/>
    <cellStyle name="CABEÇALHO 3 18 3" xfId="3476" xr:uid="{00000000-0005-0000-0000-000091010000}"/>
    <cellStyle name="CABEÇALHO 3 19" xfId="1104" xr:uid="{00000000-0005-0000-0000-000092010000}"/>
    <cellStyle name="CABEÇALHO 3 19 2" xfId="1871" xr:uid="{00000000-0005-0000-0000-000093010000}"/>
    <cellStyle name="CABEÇALHO 3 19 2 2" xfId="4567" xr:uid="{00000000-0005-0000-0000-000094010000}"/>
    <cellStyle name="CABEÇALHO 3 19 3" xfId="3801" xr:uid="{00000000-0005-0000-0000-000095010000}"/>
    <cellStyle name="CABEÇALHO 3 2" xfId="560" xr:uid="{00000000-0005-0000-0000-000096010000}"/>
    <cellStyle name="CABEÇALHO 3 2 10" xfId="1108" xr:uid="{00000000-0005-0000-0000-000097010000}"/>
    <cellStyle name="CABEÇALHO 3 2 10 2" xfId="1875" xr:uid="{00000000-0005-0000-0000-000098010000}"/>
    <cellStyle name="CABEÇALHO 3 2 10 2 2" xfId="4571" xr:uid="{00000000-0005-0000-0000-000099010000}"/>
    <cellStyle name="CABEÇALHO 3 2 10 3" xfId="3805" xr:uid="{00000000-0005-0000-0000-00009A010000}"/>
    <cellStyle name="CABEÇALHO 3 2 11" xfId="1328" xr:uid="{00000000-0005-0000-0000-00009B010000}"/>
    <cellStyle name="CABEÇALHO 3 2 11 2" xfId="4024" xr:uid="{00000000-0005-0000-0000-00009C010000}"/>
    <cellStyle name="CABEÇALHO 3 2 12" xfId="3258" xr:uid="{00000000-0005-0000-0000-00009D010000}"/>
    <cellStyle name="CABEÇALHO 3 2 2" xfId="749" xr:uid="{00000000-0005-0000-0000-00009E010000}"/>
    <cellStyle name="CABEÇALHO 3 2 2 2" xfId="1086" xr:uid="{00000000-0005-0000-0000-00009F010000}"/>
    <cellStyle name="CABEÇALHO 3 2 2 2 2" xfId="1853" xr:uid="{00000000-0005-0000-0000-0000A0010000}"/>
    <cellStyle name="CABEÇALHO 3 2 2 2 2 2" xfId="4549" xr:uid="{00000000-0005-0000-0000-0000A1010000}"/>
    <cellStyle name="CABEÇALHO 3 2 2 2 3" xfId="3783" xr:uid="{00000000-0005-0000-0000-0000A2010000}"/>
    <cellStyle name="CABEÇALHO 3 2 2 3" xfId="1171" xr:uid="{00000000-0005-0000-0000-0000A3010000}"/>
    <cellStyle name="CABEÇALHO 3 2 2 3 2" xfId="1938" xr:uid="{00000000-0005-0000-0000-0000A4010000}"/>
    <cellStyle name="CABEÇALHO 3 2 2 3 2 2" xfId="4634" xr:uid="{00000000-0005-0000-0000-0000A5010000}"/>
    <cellStyle name="CABEÇALHO 3 2 2 3 3" xfId="3868" xr:uid="{00000000-0005-0000-0000-0000A6010000}"/>
    <cellStyle name="CABEÇALHO 3 2 2 4" xfId="1516" xr:uid="{00000000-0005-0000-0000-0000A7010000}"/>
    <cellStyle name="CABEÇALHO 3 2 2 4 2" xfId="4212" xr:uid="{00000000-0005-0000-0000-0000A8010000}"/>
    <cellStyle name="CABEÇALHO 3 2 2 5" xfId="3446" xr:uid="{00000000-0005-0000-0000-0000A9010000}"/>
    <cellStyle name="CABEÇALHO 3 2 3" xfId="580" xr:uid="{00000000-0005-0000-0000-0000AA010000}"/>
    <cellStyle name="CABEÇALHO 3 2 3 2" xfId="917" xr:uid="{00000000-0005-0000-0000-0000AB010000}"/>
    <cellStyle name="CABEÇALHO 3 2 3 2 2" xfId="1684" xr:uid="{00000000-0005-0000-0000-0000AC010000}"/>
    <cellStyle name="CABEÇALHO 3 2 3 2 2 2" xfId="4380" xr:uid="{00000000-0005-0000-0000-0000AD010000}"/>
    <cellStyle name="CABEÇALHO 3 2 3 2 3" xfId="3614" xr:uid="{00000000-0005-0000-0000-0000AE010000}"/>
    <cellStyle name="CABEÇALHO 3 2 3 3" xfId="1124" xr:uid="{00000000-0005-0000-0000-0000AF010000}"/>
    <cellStyle name="CABEÇALHO 3 2 3 3 2" xfId="1891" xr:uid="{00000000-0005-0000-0000-0000B0010000}"/>
    <cellStyle name="CABEÇALHO 3 2 3 3 2 2" xfId="4587" xr:uid="{00000000-0005-0000-0000-0000B1010000}"/>
    <cellStyle name="CABEÇALHO 3 2 3 3 3" xfId="3821" xr:uid="{00000000-0005-0000-0000-0000B2010000}"/>
    <cellStyle name="CABEÇALHO 3 2 3 4" xfId="1347" xr:uid="{00000000-0005-0000-0000-0000B3010000}"/>
    <cellStyle name="CABEÇALHO 3 2 3 4 2" xfId="4043" xr:uid="{00000000-0005-0000-0000-0000B4010000}"/>
    <cellStyle name="CABEÇALHO 3 2 3 5" xfId="3277" xr:uid="{00000000-0005-0000-0000-0000B5010000}"/>
    <cellStyle name="CABEÇALHO 3 2 4" xfId="759" xr:uid="{00000000-0005-0000-0000-0000B6010000}"/>
    <cellStyle name="CABEÇALHO 3 2 4 2" xfId="1096" xr:uid="{00000000-0005-0000-0000-0000B7010000}"/>
    <cellStyle name="CABEÇALHO 3 2 4 2 2" xfId="1863" xr:uid="{00000000-0005-0000-0000-0000B8010000}"/>
    <cellStyle name="CABEÇALHO 3 2 4 2 2 2" xfId="4559" xr:uid="{00000000-0005-0000-0000-0000B9010000}"/>
    <cellStyle name="CABEÇALHO 3 2 4 2 3" xfId="3793" xr:uid="{00000000-0005-0000-0000-0000BA010000}"/>
    <cellStyle name="CABEÇALHO 3 2 4 3" xfId="1181" xr:uid="{00000000-0005-0000-0000-0000BB010000}"/>
    <cellStyle name="CABEÇALHO 3 2 4 3 2" xfId="1948" xr:uid="{00000000-0005-0000-0000-0000BC010000}"/>
    <cellStyle name="CABEÇALHO 3 2 4 3 2 2" xfId="4644" xr:uid="{00000000-0005-0000-0000-0000BD010000}"/>
    <cellStyle name="CABEÇALHO 3 2 4 3 3" xfId="3878" xr:uid="{00000000-0005-0000-0000-0000BE010000}"/>
    <cellStyle name="CABEÇALHO 3 2 4 4" xfId="1526" xr:uid="{00000000-0005-0000-0000-0000BF010000}"/>
    <cellStyle name="CABEÇALHO 3 2 4 4 2" xfId="4222" xr:uid="{00000000-0005-0000-0000-0000C0010000}"/>
    <cellStyle name="CABEÇALHO 3 2 4 5" xfId="3456" xr:uid="{00000000-0005-0000-0000-0000C1010000}"/>
    <cellStyle name="CABEÇALHO 3 2 5" xfId="757" xr:uid="{00000000-0005-0000-0000-0000C2010000}"/>
    <cellStyle name="CABEÇALHO 3 2 5 2" xfId="1094" xr:uid="{00000000-0005-0000-0000-0000C3010000}"/>
    <cellStyle name="CABEÇALHO 3 2 5 2 2" xfId="1861" xr:uid="{00000000-0005-0000-0000-0000C4010000}"/>
    <cellStyle name="CABEÇALHO 3 2 5 2 2 2" xfId="4557" xr:uid="{00000000-0005-0000-0000-0000C5010000}"/>
    <cellStyle name="CABEÇALHO 3 2 5 2 3" xfId="3791" xr:uid="{00000000-0005-0000-0000-0000C6010000}"/>
    <cellStyle name="CABEÇALHO 3 2 5 3" xfId="1179" xr:uid="{00000000-0005-0000-0000-0000C7010000}"/>
    <cellStyle name="CABEÇALHO 3 2 5 3 2" xfId="1946" xr:uid="{00000000-0005-0000-0000-0000C8010000}"/>
    <cellStyle name="CABEÇALHO 3 2 5 3 2 2" xfId="4642" xr:uid="{00000000-0005-0000-0000-0000C9010000}"/>
    <cellStyle name="CABEÇALHO 3 2 5 3 3" xfId="3876" xr:uid="{00000000-0005-0000-0000-0000CA010000}"/>
    <cellStyle name="CABEÇALHO 3 2 5 4" xfId="1524" xr:uid="{00000000-0005-0000-0000-0000CB010000}"/>
    <cellStyle name="CABEÇALHO 3 2 5 4 2" xfId="4220" xr:uid="{00000000-0005-0000-0000-0000CC010000}"/>
    <cellStyle name="CABEÇALHO 3 2 5 5" xfId="3454" xr:uid="{00000000-0005-0000-0000-0000CD010000}"/>
    <cellStyle name="CABEÇALHO 3 2 6" xfId="605" xr:uid="{00000000-0005-0000-0000-0000CE010000}"/>
    <cellStyle name="CABEÇALHO 3 2 6 2" xfId="942" xr:uid="{00000000-0005-0000-0000-0000CF010000}"/>
    <cellStyle name="CABEÇALHO 3 2 6 2 2" xfId="1709" xr:uid="{00000000-0005-0000-0000-0000D0010000}"/>
    <cellStyle name="CABEÇALHO 3 2 6 2 2 2" xfId="4405" xr:uid="{00000000-0005-0000-0000-0000D1010000}"/>
    <cellStyle name="CABEÇALHO 3 2 6 2 3" xfId="3639" xr:uid="{00000000-0005-0000-0000-0000D2010000}"/>
    <cellStyle name="CABEÇALHO 3 2 6 3" xfId="1147" xr:uid="{00000000-0005-0000-0000-0000D3010000}"/>
    <cellStyle name="CABEÇALHO 3 2 6 3 2" xfId="1914" xr:uid="{00000000-0005-0000-0000-0000D4010000}"/>
    <cellStyle name="CABEÇALHO 3 2 6 3 2 2" xfId="4610" xr:uid="{00000000-0005-0000-0000-0000D5010000}"/>
    <cellStyle name="CABEÇALHO 3 2 6 3 3" xfId="3844" xr:uid="{00000000-0005-0000-0000-0000D6010000}"/>
    <cellStyle name="CABEÇALHO 3 2 6 4" xfId="1372" xr:uid="{00000000-0005-0000-0000-0000D7010000}"/>
    <cellStyle name="CABEÇALHO 3 2 6 4 2" xfId="4068" xr:uid="{00000000-0005-0000-0000-0000D8010000}"/>
    <cellStyle name="CABEÇALHO 3 2 6 5" xfId="3302" xr:uid="{00000000-0005-0000-0000-0000D9010000}"/>
    <cellStyle name="CABEÇALHO 3 2 7" xfId="747" xr:uid="{00000000-0005-0000-0000-0000DA010000}"/>
    <cellStyle name="CABEÇALHO 3 2 7 2" xfId="1084" xr:uid="{00000000-0005-0000-0000-0000DB010000}"/>
    <cellStyle name="CABEÇALHO 3 2 7 2 2" xfId="1851" xr:uid="{00000000-0005-0000-0000-0000DC010000}"/>
    <cellStyle name="CABEÇALHO 3 2 7 2 2 2" xfId="4547" xr:uid="{00000000-0005-0000-0000-0000DD010000}"/>
    <cellStyle name="CABEÇALHO 3 2 7 2 3" xfId="3781" xr:uid="{00000000-0005-0000-0000-0000DE010000}"/>
    <cellStyle name="CABEÇALHO 3 2 7 3" xfId="1169" xr:uid="{00000000-0005-0000-0000-0000DF010000}"/>
    <cellStyle name="CABEÇALHO 3 2 7 3 2" xfId="1936" xr:uid="{00000000-0005-0000-0000-0000E0010000}"/>
    <cellStyle name="CABEÇALHO 3 2 7 3 2 2" xfId="4632" xr:uid="{00000000-0005-0000-0000-0000E1010000}"/>
    <cellStyle name="CABEÇALHO 3 2 7 3 3" xfId="3866" xr:uid="{00000000-0005-0000-0000-0000E2010000}"/>
    <cellStyle name="CABEÇALHO 3 2 7 4" xfId="1514" xr:uid="{00000000-0005-0000-0000-0000E3010000}"/>
    <cellStyle name="CABEÇALHO 3 2 7 4 2" xfId="4210" xr:uid="{00000000-0005-0000-0000-0000E4010000}"/>
    <cellStyle name="CABEÇALHO 3 2 7 5" xfId="3444" xr:uid="{00000000-0005-0000-0000-0000E5010000}"/>
    <cellStyle name="CABEÇALHO 3 2 8" xfId="595" xr:uid="{00000000-0005-0000-0000-0000E6010000}"/>
    <cellStyle name="CABEÇALHO 3 2 8 2" xfId="932" xr:uid="{00000000-0005-0000-0000-0000E7010000}"/>
    <cellStyle name="CABEÇALHO 3 2 8 2 2" xfId="1699" xr:uid="{00000000-0005-0000-0000-0000E8010000}"/>
    <cellStyle name="CABEÇALHO 3 2 8 2 2 2" xfId="4395" xr:uid="{00000000-0005-0000-0000-0000E9010000}"/>
    <cellStyle name="CABEÇALHO 3 2 8 2 3" xfId="3629" xr:uid="{00000000-0005-0000-0000-0000EA010000}"/>
    <cellStyle name="CABEÇALHO 3 2 8 3" xfId="1138" xr:uid="{00000000-0005-0000-0000-0000EB010000}"/>
    <cellStyle name="CABEÇALHO 3 2 8 3 2" xfId="1905" xr:uid="{00000000-0005-0000-0000-0000EC010000}"/>
    <cellStyle name="CABEÇALHO 3 2 8 3 2 2" xfId="4601" xr:uid="{00000000-0005-0000-0000-0000ED010000}"/>
    <cellStyle name="CABEÇALHO 3 2 8 3 3" xfId="3835" xr:uid="{00000000-0005-0000-0000-0000EE010000}"/>
    <cellStyle name="CABEÇALHO 3 2 8 4" xfId="1362" xr:uid="{00000000-0005-0000-0000-0000EF010000}"/>
    <cellStyle name="CABEÇALHO 3 2 8 4 2" xfId="4058" xr:uid="{00000000-0005-0000-0000-0000F0010000}"/>
    <cellStyle name="CABEÇALHO 3 2 8 5" xfId="3292" xr:uid="{00000000-0005-0000-0000-0000F1010000}"/>
    <cellStyle name="CABEÇALHO 3 2 9" xfId="898" xr:uid="{00000000-0005-0000-0000-0000F2010000}"/>
    <cellStyle name="CABEÇALHO 3 2 9 2" xfId="1665" xr:uid="{00000000-0005-0000-0000-0000F3010000}"/>
    <cellStyle name="CABEÇALHO 3 2 9 2 2" xfId="4361" xr:uid="{00000000-0005-0000-0000-0000F4010000}"/>
    <cellStyle name="CABEÇALHO 3 2 9 3" xfId="3595" xr:uid="{00000000-0005-0000-0000-0000F5010000}"/>
    <cellStyle name="CABEÇALHO 3 20" xfId="1189" xr:uid="{00000000-0005-0000-0000-0000F6010000}"/>
    <cellStyle name="CABEÇALHO 3 20 2" xfId="1956" xr:uid="{00000000-0005-0000-0000-0000F7010000}"/>
    <cellStyle name="CABEÇALHO 3 20 2 2" xfId="4652" xr:uid="{00000000-0005-0000-0000-0000F8010000}"/>
    <cellStyle name="CABEÇALHO 3 20 3" xfId="3886" xr:uid="{00000000-0005-0000-0000-0000F9010000}"/>
    <cellStyle name="CABEÇALHO 3 21" xfId="1190" xr:uid="{00000000-0005-0000-0000-0000FA010000}"/>
    <cellStyle name="CABEÇALHO 3 21 2" xfId="3887" xr:uid="{00000000-0005-0000-0000-0000FB010000}"/>
    <cellStyle name="CABEÇALHO 3 22" xfId="1964" xr:uid="{00000000-0005-0000-0000-0000FC010000}"/>
    <cellStyle name="CABEÇALHO 3 22 2" xfId="4660" xr:uid="{00000000-0005-0000-0000-0000FD010000}"/>
    <cellStyle name="CABEÇALHO 3 23" xfId="3140" xr:uid="{00000000-0005-0000-0000-0000FE010000}"/>
    <cellStyle name="CABEÇALHO 3 3" xfId="505" xr:uid="{00000000-0005-0000-0000-0000FF010000}"/>
    <cellStyle name="CABEÇALHO 3 3 10" xfId="1107" xr:uid="{00000000-0005-0000-0000-000000020000}"/>
    <cellStyle name="CABEÇALHO 3 3 10 2" xfId="1874" xr:uid="{00000000-0005-0000-0000-000001020000}"/>
    <cellStyle name="CABEÇALHO 3 3 10 2 2" xfId="4570" xr:uid="{00000000-0005-0000-0000-000002020000}"/>
    <cellStyle name="CABEÇALHO 3 3 10 3" xfId="3804" xr:uid="{00000000-0005-0000-0000-000003020000}"/>
    <cellStyle name="CABEÇALHO 3 3 11" xfId="1273" xr:uid="{00000000-0005-0000-0000-000004020000}"/>
    <cellStyle name="CABEÇALHO 3 3 11 2" xfId="3969" xr:uid="{00000000-0005-0000-0000-000005020000}"/>
    <cellStyle name="CABEÇALHO 3 3 12" xfId="3203" xr:uid="{00000000-0005-0000-0000-000006020000}"/>
    <cellStyle name="CABEÇALHO 3 3 2" xfId="741" xr:uid="{00000000-0005-0000-0000-000007020000}"/>
    <cellStyle name="CABEÇALHO 3 3 2 2" xfId="1078" xr:uid="{00000000-0005-0000-0000-000008020000}"/>
    <cellStyle name="CABEÇALHO 3 3 2 2 2" xfId="1845" xr:uid="{00000000-0005-0000-0000-000009020000}"/>
    <cellStyle name="CABEÇALHO 3 3 2 2 2 2" xfId="4541" xr:uid="{00000000-0005-0000-0000-00000A020000}"/>
    <cellStyle name="CABEÇALHO 3 3 2 2 3" xfId="3775" xr:uid="{00000000-0005-0000-0000-00000B020000}"/>
    <cellStyle name="CABEÇALHO 3 3 2 3" xfId="1163" xr:uid="{00000000-0005-0000-0000-00000C020000}"/>
    <cellStyle name="CABEÇALHO 3 3 2 3 2" xfId="1930" xr:uid="{00000000-0005-0000-0000-00000D020000}"/>
    <cellStyle name="CABEÇALHO 3 3 2 3 2 2" xfId="4626" xr:uid="{00000000-0005-0000-0000-00000E020000}"/>
    <cellStyle name="CABEÇALHO 3 3 2 3 3" xfId="3860" xr:uid="{00000000-0005-0000-0000-00000F020000}"/>
    <cellStyle name="CABEÇALHO 3 3 2 4" xfId="1508" xr:uid="{00000000-0005-0000-0000-000010020000}"/>
    <cellStyle name="CABEÇALHO 3 3 2 4 2" xfId="4204" xr:uid="{00000000-0005-0000-0000-000011020000}"/>
    <cellStyle name="CABEÇALHO 3 3 2 5" xfId="3438" xr:uid="{00000000-0005-0000-0000-000012020000}"/>
    <cellStyle name="CABEÇALHO 3 3 3" xfId="752" xr:uid="{00000000-0005-0000-0000-000013020000}"/>
    <cellStyle name="CABEÇALHO 3 3 3 2" xfId="1089" xr:uid="{00000000-0005-0000-0000-000014020000}"/>
    <cellStyle name="CABEÇALHO 3 3 3 2 2" xfId="1856" xr:uid="{00000000-0005-0000-0000-000015020000}"/>
    <cellStyle name="CABEÇALHO 3 3 3 2 2 2" xfId="4552" xr:uid="{00000000-0005-0000-0000-000016020000}"/>
    <cellStyle name="CABEÇALHO 3 3 3 2 3" xfId="3786" xr:uid="{00000000-0005-0000-0000-000017020000}"/>
    <cellStyle name="CABEÇALHO 3 3 3 3" xfId="1174" xr:uid="{00000000-0005-0000-0000-000018020000}"/>
    <cellStyle name="CABEÇALHO 3 3 3 3 2" xfId="1941" xr:uid="{00000000-0005-0000-0000-000019020000}"/>
    <cellStyle name="CABEÇALHO 3 3 3 3 2 2" xfId="4637" xr:uid="{00000000-0005-0000-0000-00001A020000}"/>
    <cellStyle name="CABEÇALHO 3 3 3 3 3" xfId="3871" xr:uid="{00000000-0005-0000-0000-00001B020000}"/>
    <cellStyle name="CABEÇALHO 3 3 3 4" xfId="1519" xr:uid="{00000000-0005-0000-0000-00001C020000}"/>
    <cellStyle name="CABEÇALHO 3 3 3 4 2" xfId="4215" xr:uid="{00000000-0005-0000-0000-00001D020000}"/>
    <cellStyle name="CABEÇALHO 3 3 3 5" xfId="3449" xr:uid="{00000000-0005-0000-0000-00001E020000}"/>
    <cellStyle name="CABEÇALHO 3 3 4" xfId="736" xr:uid="{00000000-0005-0000-0000-00001F020000}"/>
    <cellStyle name="CABEÇALHO 3 3 4 2" xfId="1073" xr:uid="{00000000-0005-0000-0000-000020020000}"/>
    <cellStyle name="CABEÇALHO 3 3 4 2 2" xfId="1840" xr:uid="{00000000-0005-0000-0000-000021020000}"/>
    <cellStyle name="CABEÇALHO 3 3 4 2 2 2" xfId="4536" xr:uid="{00000000-0005-0000-0000-000022020000}"/>
    <cellStyle name="CABEÇALHO 3 3 4 2 3" xfId="3770" xr:uid="{00000000-0005-0000-0000-000023020000}"/>
    <cellStyle name="CABEÇALHO 3 3 4 3" xfId="1158" xr:uid="{00000000-0005-0000-0000-000024020000}"/>
    <cellStyle name="CABEÇALHO 3 3 4 3 2" xfId="1925" xr:uid="{00000000-0005-0000-0000-000025020000}"/>
    <cellStyle name="CABEÇALHO 3 3 4 3 2 2" xfId="4621" xr:uid="{00000000-0005-0000-0000-000026020000}"/>
    <cellStyle name="CABEÇALHO 3 3 4 3 3" xfId="3855" xr:uid="{00000000-0005-0000-0000-000027020000}"/>
    <cellStyle name="CABEÇALHO 3 3 4 4" xfId="1503" xr:uid="{00000000-0005-0000-0000-000028020000}"/>
    <cellStyle name="CABEÇALHO 3 3 4 4 2" xfId="4199" xr:uid="{00000000-0005-0000-0000-000029020000}"/>
    <cellStyle name="CABEÇALHO 3 3 4 5" xfId="3433" xr:uid="{00000000-0005-0000-0000-00002A020000}"/>
    <cellStyle name="CABEÇALHO 3 3 5" xfId="761" xr:uid="{00000000-0005-0000-0000-00002B020000}"/>
    <cellStyle name="CABEÇALHO 3 3 5 2" xfId="1098" xr:uid="{00000000-0005-0000-0000-00002C020000}"/>
    <cellStyle name="CABEÇALHO 3 3 5 2 2" xfId="1865" xr:uid="{00000000-0005-0000-0000-00002D020000}"/>
    <cellStyle name="CABEÇALHO 3 3 5 2 2 2" xfId="4561" xr:uid="{00000000-0005-0000-0000-00002E020000}"/>
    <cellStyle name="CABEÇALHO 3 3 5 2 3" xfId="3795" xr:uid="{00000000-0005-0000-0000-00002F020000}"/>
    <cellStyle name="CABEÇALHO 3 3 5 3" xfId="1183" xr:uid="{00000000-0005-0000-0000-000030020000}"/>
    <cellStyle name="CABEÇALHO 3 3 5 3 2" xfId="1950" xr:uid="{00000000-0005-0000-0000-000031020000}"/>
    <cellStyle name="CABEÇALHO 3 3 5 3 2 2" xfId="4646" xr:uid="{00000000-0005-0000-0000-000032020000}"/>
    <cellStyle name="CABEÇALHO 3 3 5 3 3" xfId="3880" xr:uid="{00000000-0005-0000-0000-000033020000}"/>
    <cellStyle name="CABEÇALHO 3 3 5 4" xfId="1528" xr:uid="{00000000-0005-0000-0000-000034020000}"/>
    <cellStyle name="CABEÇALHO 3 3 5 4 2" xfId="4224" xr:uid="{00000000-0005-0000-0000-000035020000}"/>
    <cellStyle name="CABEÇALHO 3 3 5 5" xfId="3458" xr:uid="{00000000-0005-0000-0000-000036020000}"/>
    <cellStyle name="CABEÇALHO 3 3 6" xfId="583" xr:uid="{00000000-0005-0000-0000-000037020000}"/>
    <cellStyle name="CABEÇALHO 3 3 6 2" xfId="920" xr:uid="{00000000-0005-0000-0000-000038020000}"/>
    <cellStyle name="CABEÇALHO 3 3 6 2 2" xfId="1687" xr:uid="{00000000-0005-0000-0000-000039020000}"/>
    <cellStyle name="CABEÇALHO 3 3 6 2 2 2" xfId="4383" xr:uid="{00000000-0005-0000-0000-00003A020000}"/>
    <cellStyle name="CABEÇALHO 3 3 6 2 3" xfId="3617" xr:uid="{00000000-0005-0000-0000-00003B020000}"/>
    <cellStyle name="CABEÇALHO 3 3 6 3" xfId="1126" xr:uid="{00000000-0005-0000-0000-00003C020000}"/>
    <cellStyle name="CABEÇALHO 3 3 6 3 2" xfId="1893" xr:uid="{00000000-0005-0000-0000-00003D020000}"/>
    <cellStyle name="CABEÇALHO 3 3 6 3 2 2" xfId="4589" xr:uid="{00000000-0005-0000-0000-00003E020000}"/>
    <cellStyle name="CABEÇALHO 3 3 6 3 3" xfId="3823" xr:uid="{00000000-0005-0000-0000-00003F020000}"/>
    <cellStyle name="CABEÇALHO 3 3 6 4" xfId="1350" xr:uid="{00000000-0005-0000-0000-000040020000}"/>
    <cellStyle name="CABEÇALHO 3 3 6 4 2" xfId="4046" xr:uid="{00000000-0005-0000-0000-000041020000}"/>
    <cellStyle name="CABEÇALHO 3 3 6 5" xfId="3280" xr:uid="{00000000-0005-0000-0000-000042020000}"/>
    <cellStyle name="CABEÇALHO 3 3 7" xfId="597" xr:uid="{00000000-0005-0000-0000-000043020000}"/>
    <cellStyle name="CABEÇALHO 3 3 7 2" xfId="934" xr:uid="{00000000-0005-0000-0000-000044020000}"/>
    <cellStyle name="CABEÇALHO 3 3 7 2 2" xfId="1701" xr:uid="{00000000-0005-0000-0000-000045020000}"/>
    <cellStyle name="CABEÇALHO 3 3 7 2 2 2" xfId="4397" xr:uid="{00000000-0005-0000-0000-000046020000}"/>
    <cellStyle name="CABEÇALHO 3 3 7 2 3" xfId="3631" xr:uid="{00000000-0005-0000-0000-000047020000}"/>
    <cellStyle name="CABEÇALHO 3 3 7 3" xfId="1140" xr:uid="{00000000-0005-0000-0000-000048020000}"/>
    <cellStyle name="CABEÇALHO 3 3 7 3 2" xfId="1907" xr:uid="{00000000-0005-0000-0000-000049020000}"/>
    <cellStyle name="CABEÇALHO 3 3 7 3 2 2" xfId="4603" xr:uid="{00000000-0005-0000-0000-00004A020000}"/>
    <cellStyle name="CABEÇALHO 3 3 7 3 3" xfId="3837" xr:uid="{00000000-0005-0000-0000-00004B020000}"/>
    <cellStyle name="CABEÇALHO 3 3 7 4" xfId="1364" xr:uid="{00000000-0005-0000-0000-00004C020000}"/>
    <cellStyle name="CABEÇALHO 3 3 7 4 2" xfId="4060" xr:uid="{00000000-0005-0000-0000-00004D020000}"/>
    <cellStyle name="CABEÇALHO 3 3 7 5" xfId="3294" xr:uid="{00000000-0005-0000-0000-00004E020000}"/>
    <cellStyle name="CABEÇALHO 3 3 8" xfId="766" xr:uid="{00000000-0005-0000-0000-00004F020000}"/>
    <cellStyle name="CABEÇALHO 3 3 8 2" xfId="1103" xr:uid="{00000000-0005-0000-0000-000050020000}"/>
    <cellStyle name="CABEÇALHO 3 3 8 2 2" xfId="1870" xr:uid="{00000000-0005-0000-0000-000051020000}"/>
    <cellStyle name="CABEÇALHO 3 3 8 2 2 2" xfId="4566" xr:uid="{00000000-0005-0000-0000-000052020000}"/>
    <cellStyle name="CABEÇALHO 3 3 8 2 3" xfId="3800" xr:uid="{00000000-0005-0000-0000-000053020000}"/>
    <cellStyle name="CABEÇALHO 3 3 8 3" xfId="1188" xr:uid="{00000000-0005-0000-0000-000054020000}"/>
    <cellStyle name="CABEÇALHO 3 3 8 3 2" xfId="1955" xr:uid="{00000000-0005-0000-0000-000055020000}"/>
    <cellStyle name="CABEÇALHO 3 3 8 3 2 2" xfId="4651" xr:uid="{00000000-0005-0000-0000-000056020000}"/>
    <cellStyle name="CABEÇALHO 3 3 8 3 3" xfId="3885" xr:uid="{00000000-0005-0000-0000-000057020000}"/>
    <cellStyle name="CABEÇALHO 3 3 8 4" xfId="1533" xr:uid="{00000000-0005-0000-0000-000058020000}"/>
    <cellStyle name="CABEÇALHO 3 3 8 4 2" xfId="4229" xr:uid="{00000000-0005-0000-0000-000059020000}"/>
    <cellStyle name="CABEÇALHO 3 3 8 5" xfId="3463" xr:uid="{00000000-0005-0000-0000-00005A020000}"/>
    <cellStyle name="CABEÇALHO 3 3 9" xfId="843" xr:uid="{00000000-0005-0000-0000-00005B020000}"/>
    <cellStyle name="CABEÇALHO 3 3 9 2" xfId="1610" xr:uid="{00000000-0005-0000-0000-00005C020000}"/>
    <cellStyle name="CABEÇALHO 3 3 9 2 2" xfId="4306" xr:uid="{00000000-0005-0000-0000-00005D020000}"/>
    <cellStyle name="CABEÇALHO 3 3 9 3" xfId="3540" xr:uid="{00000000-0005-0000-0000-00005E020000}"/>
    <cellStyle name="CABEÇALHO 3 4" xfId="735" xr:uid="{00000000-0005-0000-0000-00005F020000}"/>
    <cellStyle name="CABEÇALHO 3 4 2" xfId="1072" xr:uid="{00000000-0005-0000-0000-000060020000}"/>
    <cellStyle name="CABEÇALHO 3 4 2 2" xfId="1839" xr:uid="{00000000-0005-0000-0000-000061020000}"/>
    <cellStyle name="CABEÇALHO 3 4 2 2 2" xfId="4535" xr:uid="{00000000-0005-0000-0000-000062020000}"/>
    <cellStyle name="CABEÇALHO 3 4 2 3" xfId="3769" xr:uid="{00000000-0005-0000-0000-000063020000}"/>
    <cellStyle name="CABEÇALHO 3 4 3" xfId="1157" xr:uid="{00000000-0005-0000-0000-000064020000}"/>
    <cellStyle name="CABEÇALHO 3 4 3 2" xfId="1924" xr:uid="{00000000-0005-0000-0000-000065020000}"/>
    <cellStyle name="CABEÇALHO 3 4 3 2 2" xfId="4620" xr:uid="{00000000-0005-0000-0000-000066020000}"/>
    <cellStyle name="CABEÇALHO 3 4 3 3" xfId="3854" xr:uid="{00000000-0005-0000-0000-000067020000}"/>
    <cellStyle name="CABEÇALHO 3 4 4" xfId="1502" xr:uid="{00000000-0005-0000-0000-000068020000}"/>
    <cellStyle name="CABEÇALHO 3 4 4 2" xfId="4198" xr:uid="{00000000-0005-0000-0000-000069020000}"/>
    <cellStyle name="CABEÇALHO 3 4 5" xfId="3432" xr:uid="{00000000-0005-0000-0000-00006A020000}"/>
    <cellStyle name="CABEÇALHO 3 5" xfId="584" xr:uid="{00000000-0005-0000-0000-00006B020000}"/>
    <cellStyle name="CABEÇALHO 3 5 2" xfId="921" xr:uid="{00000000-0005-0000-0000-00006C020000}"/>
    <cellStyle name="CABEÇALHO 3 5 2 2" xfId="1688" xr:uid="{00000000-0005-0000-0000-00006D020000}"/>
    <cellStyle name="CABEÇALHO 3 5 2 2 2" xfId="4384" xr:uid="{00000000-0005-0000-0000-00006E020000}"/>
    <cellStyle name="CABEÇALHO 3 5 2 3" xfId="3618" xr:uid="{00000000-0005-0000-0000-00006F020000}"/>
    <cellStyle name="CABEÇALHO 3 5 3" xfId="1127" xr:uid="{00000000-0005-0000-0000-000070020000}"/>
    <cellStyle name="CABEÇALHO 3 5 3 2" xfId="1894" xr:uid="{00000000-0005-0000-0000-000071020000}"/>
    <cellStyle name="CABEÇALHO 3 5 3 2 2" xfId="4590" xr:uid="{00000000-0005-0000-0000-000072020000}"/>
    <cellStyle name="CABEÇALHO 3 5 3 3" xfId="3824" xr:uid="{00000000-0005-0000-0000-000073020000}"/>
    <cellStyle name="CABEÇALHO 3 5 4" xfId="1351" xr:uid="{00000000-0005-0000-0000-000074020000}"/>
    <cellStyle name="CABEÇALHO 3 5 4 2" xfId="4047" xr:uid="{00000000-0005-0000-0000-000075020000}"/>
    <cellStyle name="CABEÇALHO 3 5 5" xfId="3281" xr:uid="{00000000-0005-0000-0000-000076020000}"/>
    <cellStyle name="CABEÇALHO 3 6" xfId="612" xr:uid="{00000000-0005-0000-0000-000077020000}"/>
    <cellStyle name="CABEÇALHO 3 6 2" xfId="949" xr:uid="{00000000-0005-0000-0000-000078020000}"/>
    <cellStyle name="CABEÇALHO 3 6 2 2" xfId="1716" xr:uid="{00000000-0005-0000-0000-000079020000}"/>
    <cellStyle name="CABEÇALHO 3 6 2 2 2" xfId="4412" xr:uid="{00000000-0005-0000-0000-00007A020000}"/>
    <cellStyle name="CABEÇALHO 3 6 2 3" xfId="3646" xr:uid="{00000000-0005-0000-0000-00007B020000}"/>
    <cellStyle name="CABEÇALHO 3 6 3" xfId="1153" xr:uid="{00000000-0005-0000-0000-00007C020000}"/>
    <cellStyle name="CABEÇALHO 3 6 3 2" xfId="1920" xr:uid="{00000000-0005-0000-0000-00007D020000}"/>
    <cellStyle name="CABEÇALHO 3 6 3 2 2" xfId="4616" xr:uid="{00000000-0005-0000-0000-00007E020000}"/>
    <cellStyle name="CABEÇALHO 3 6 3 3" xfId="3850" xr:uid="{00000000-0005-0000-0000-00007F020000}"/>
    <cellStyle name="CABEÇALHO 3 6 4" xfId="1379" xr:uid="{00000000-0005-0000-0000-000080020000}"/>
    <cellStyle name="CABEÇALHO 3 6 4 2" xfId="4075" xr:uid="{00000000-0005-0000-0000-000081020000}"/>
    <cellStyle name="CABEÇALHO 3 6 5" xfId="3309" xr:uid="{00000000-0005-0000-0000-000082020000}"/>
    <cellStyle name="CABEÇALHO 3 7" xfId="577" xr:uid="{00000000-0005-0000-0000-000083020000}"/>
    <cellStyle name="CABEÇALHO 3 7 2" xfId="914" xr:uid="{00000000-0005-0000-0000-000084020000}"/>
    <cellStyle name="CABEÇALHO 3 7 2 2" xfId="1681" xr:uid="{00000000-0005-0000-0000-000085020000}"/>
    <cellStyle name="CABEÇALHO 3 7 2 2 2" xfId="4377" xr:uid="{00000000-0005-0000-0000-000086020000}"/>
    <cellStyle name="CABEÇALHO 3 7 2 3" xfId="3611" xr:uid="{00000000-0005-0000-0000-000087020000}"/>
    <cellStyle name="CABEÇALHO 3 7 3" xfId="1121" xr:uid="{00000000-0005-0000-0000-000088020000}"/>
    <cellStyle name="CABEÇALHO 3 7 3 2" xfId="1888" xr:uid="{00000000-0005-0000-0000-000089020000}"/>
    <cellStyle name="CABEÇALHO 3 7 3 2 2" xfId="4584" xr:uid="{00000000-0005-0000-0000-00008A020000}"/>
    <cellStyle name="CABEÇALHO 3 7 3 3" xfId="3818" xr:uid="{00000000-0005-0000-0000-00008B020000}"/>
    <cellStyle name="CABEÇALHO 3 7 4" xfId="1344" xr:uid="{00000000-0005-0000-0000-00008C020000}"/>
    <cellStyle name="CABEÇALHO 3 7 4 2" xfId="4040" xr:uid="{00000000-0005-0000-0000-00008D020000}"/>
    <cellStyle name="CABEÇALHO 3 7 5" xfId="3274" xr:uid="{00000000-0005-0000-0000-00008E020000}"/>
    <cellStyle name="CABEÇALHO 3 8" xfId="591" xr:uid="{00000000-0005-0000-0000-00008F020000}"/>
    <cellStyle name="CABEÇALHO 3 8 2" xfId="928" xr:uid="{00000000-0005-0000-0000-000090020000}"/>
    <cellStyle name="CABEÇALHO 3 8 2 2" xfId="1695" xr:uid="{00000000-0005-0000-0000-000091020000}"/>
    <cellStyle name="CABEÇALHO 3 8 2 2 2" xfId="4391" xr:uid="{00000000-0005-0000-0000-000092020000}"/>
    <cellStyle name="CABEÇALHO 3 8 2 3" xfId="3625" xr:uid="{00000000-0005-0000-0000-000093020000}"/>
    <cellStyle name="CABEÇALHO 3 8 3" xfId="1134" xr:uid="{00000000-0005-0000-0000-000094020000}"/>
    <cellStyle name="CABEÇALHO 3 8 3 2" xfId="1901" xr:uid="{00000000-0005-0000-0000-000095020000}"/>
    <cellStyle name="CABEÇALHO 3 8 3 2 2" xfId="4597" xr:uid="{00000000-0005-0000-0000-000096020000}"/>
    <cellStyle name="CABEÇALHO 3 8 3 3" xfId="3831" xr:uid="{00000000-0005-0000-0000-000097020000}"/>
    <cellStyle name="CABEÇALHO 3 8 4" xfId="1358" xr:uid="{00000000-0005-0000-0000-000098020000}"/>
    <cellStyle name="CABEÇALHO 3 8 4 2" xfId="4054" xr:uid="{00000000-0005-0000-0000-000099020000}"/>
    <cellStyle name="CABEÇALHO 3 8 5" xfId="3288" xr:uid="{00000000-0005-0000-0000-00009A020000}"/>
    <cellStyle name="CABEÇALHO 3 9" xfId="590" xr:uid="{00000000-0005-0000-0000-00009B020000}"/>
    <cellStyle name="CABEÇALHO 3 9 2" xfId="927" xr:uid="{00000000-0005-0000-0000-00009C020000}"/>
    <cellStyle name="CABEÇALHO 3 9 2 2" xfId="1694" xr:uid="{00000000-0005-0000-0000-00009D020000}"/>
    <cellStyle name="CABEÇALHO 3 9 2 2 2" xfId="4390" xr:uid="{00000000-0005-0000-0000-00009E020000}"/>
    <cellStyle name="CABEÇALHO 3 9 2 3" xfId="3624" xr:uid="{00000000-0005-0000-0000-00009F020000}"/>
    <cellStyle name="CABEÇALHO 3 9 3" xfId="1133" xr:uid="{00000000-0005-0000-0000-0000A0020000}"/>
    <cellStyle name="CABEÇALHO 3 9 3 2" xfId="1900" xr:uid="{00000000-0005-0000-0000-0000A1020000}"/>
    <cellStyle name="CABEÇALHO 3 9 3 2 2" xfId="4596" xr:uid="{00000000-0005-0000-0000-0000A2020000}"/>
    <cellStyle name="CABEÇALHO 3 9 3 3" xfId="3830" xr:uid="{00000000-0005-0000-0000-0000A3020000}"/>
    <cellStyle name="CABEÇALHO 3 9 4" xfId="1357" xr:uid="{00000000-0005-0000-0000-0000A4020000}"/>
    <cellStyle name="CABEÇALHO 3 9 4 2" xfId="4053" xr:uid="{00000000-0005-0000-0000-0000A5020000}"/>
    <cellStyle name="CABEÇALHO 3 9 5" xfId="3287" xr:uid="{00000000-0005-0000-0000-0000A6020000}"/>
    <cellStyle name="CABEÇALHO 30" xfId="570" xr:uid="{00000000-0005-0000-0000-0000A7020000}"/>
    <cellStyle name="CABEÇALHO 30 2" xfId="907" xr:uid="{00000000-0005-0000-0000-0000A8020000}"/>
    <cellStyle name="CABEÇALHO 30 2 2" xfId="1674" xr:uid="{00000000-0005-0000-0000-0000A9020000}"/>
    <cellStyle name="CABEÇALHO 30 2 2 2" xfId="4370" xr:uid="{00000000-0005-0000-0000-0000AA020000}"/>
    <cellStyle name="CABEÇALHO 30 2 3" xfId="3604" xr:uid="{00000000-0005-0000-0000-0000AB020000}"/>
    <cellStyle name="CABEÇALHO 30 3" xfId="1116" xr:uid="{00000000-0005-0000-0000-0000AC020000}"/>
    <cellStyle name="CABEÇALHO 30 3 2" xfId="1883" xr:uid="{00000000-0005-0000-0000-0000AD020000}"/>
    <cellStyle name="CABEÇALHO 30 3 2 2" xfId="4579" xr:uid="{00000000-0005-0000-0000-0000AE020000}"/>
    <cellStyle name="CABEÇALHO 30 3 3" xfId="3813" xr:uid="{00000000-0005-0000-0000-0000AF020000}"/>
    <cellStyle name="CABEÇALHO 30 4" xfId="1337" xr:uid="{00000000-0005-0000-0000-0000B0020000}"/>
    <cellStyle name="CABEÇALHO 30 4 2" xfId="4033" xr:uid="{00000000-0005-0000-0000-0000B1020000}"/>
    <cellStyle name="CABEÇALHO 30 5" xfId="3267" xr:uid="{00000000-0005-0000-0000-0000B2020000}"/>
    <cellStyle name="CABEÇALHO 31" xfId="568" xr:uid="{00000000-0005-0000-0000-0000B3020000}"/>
    <cellStyle name="CABEÇALHO 31 2" xfId="905" xr:uid="{00000000-0005-0000-0000-0000B4020000}"/>
    <cellStyle name="CABEÇALHO 31 2 2" xfId="1672" xr:uid="{00000000-0005-0000-0000-0000B5020000}"/>
    <cellStyle name="CABEÇALHO 31 2 2 2" xfId="4368" xr:uid="{00000000-0005-0000-0000-0000B6020000}"/>
    <cellStyle name="CABEÇALHO 31 2 3" xfId="3602" xr:uid="{00000000-0005-0000-0000-0000B7020000}"/>
    <cellStyle name="CABEÇALHO 31 3" xfId="1114" xr:uid="{00000000-0005-0000-0000-0000B8020000}"/>
    <cellStyle name="CABEÇALHO 31 3 2" xfId="1881" xr:uid="{00000000-0005-0000-0000-0000B9020000}"/>
    <cellStyle name="CABEÇALHO 31 3 2 2" xfId="4577" xr:uid="{00000000-0005-0000-0000-0000BA020000}"/>
    <cellStyle name="CABEÇALHO 31 3 3" xfId="3811" xr:uid="{00000000-0005-0000-0000-0000BB020000}"/>
    <cellStyle name="CABEÇALHO 31 4" xfId="1335" xr:uid="{00000000-0005-0000-0000-0000BC020000}"/>
    <cellStyle name="CABEÇALHO 31 4 2" xfId="4031" xr:uid="{00000000-0005-0000-0000-0000BD020000}"/>
    <cellStyle name="CABEÇALHO 31 5" xfId="3265" xr:uid="{00000000-0005-0000-0000-0000BE020000}"/>
    <cellStyle name="CABEÇALHO 32" xfId="579" xr:uid="{00000000-0005-0000-0000-0000BF020000}"/>
    <cellStyle name="CABEÇALHO 32 2" xfId="916" xr:uid="{00000000-0005-0000-0000-0000C0020000}"/>
    <cellStyle name="CABEÇALHO 32 2 2" xfId="1683" xr:uid="{00000000-0005-0000-0000-0000C1020000}"/>
    <cellStyle name="CABEÇALHO 32 2 2 2" xfId="4379" xr:uid="{00000000-0005-0000-0000-0000C2020000}"/>
    <cellStyle name="CABEÇALHO 32 2 3" xfId="3613" xr:uid="{00000000-0005-0000-0000-0000C3020000}"/>
    <cellStyle name="CABEÇALHO 32 3" xfId="1123" xr:uid="{00000000-0005-0000-0000-0000C4020000}"/>
    <cellStyle name="CABEÇALHO 32 3 2" xfId="1890" xr:uid="{00000000-0005-0000-0000-0000C5020000}"/>
    <cellStyle name="CABEÇALHO 32 3 2 2" xfId="4586" xr:uid="{00000000-0005-0000-0000-0000C6020000}"/>
    <cellStyle name="CABEÇALHO 32 3 3" xfId="3820" xr:uid="{00000000-0005-0000-0000-0000C7020000}"/>
    <cellStyle name="CABEÇALHO 32 4" xfId="1346" xr:uid="{00000000-0005-0000-0000-0000C8020000}"/>
    <cellStyle name="CABEÇALHO 32 4 2" xfId="4042" xr:uid="{00000000-0005-0000-0000-0000C9020000}"/>
    <cellStyle name="CABEÇALHO 32 5" xfId="3276" xr:uid="{00000000-0005-0000-0000-0000CA020000}"/>
    <cellStyle name="CABEÇALHO 33" xfId="571" xr:uid="{00000000-0005-0000-0000-0000CB020000}"/>
    <cellStyle name="CABEÇALHO 33 2" xfId="908" xr:uid="{00000000-0005-0000-0000-0000CC020000}"/>
    <cellStyle name="CABEÇALHO 33 2 2" xfId="1675" xr:uid="{00000000-0005-0000-0000-0000CD020000}"/>
    <cellStyle name="CABEÇALHO 33 2 2 2" xfId="4371" xr:uid="{00000000-0005-0000-0000-0000CE020000}"/>
    <cellStyle name="CABEÇALHO 33 2 3" xfId="3605" xr:uid="{00000000-0005-0000-0000-0000CF020000}"/>
    <cellStyle name="CABEÇALHO 33 3" xfId="1117" xr:uid="{00000000-0005-0000-0000-0000D0020000}"/>
    <cellStyle name="CABEÇALHO 33 3 2" xfId="1884" xr:uid="{00000000-0005-0000-0000-0000D1020000}"/>
    <cellStyle name="CABEÇALHO 33 3 2 2" xfId="4580" xr:uid="{00000000-0005-0000-0000-0000D2020000}"/>
    <cellStyle name="CABEÇALHO 33 3 3" xfId="3814" xr:uid="{00000000-0005-0000-0000-0000D3020000}"/>
    <cellStyle name="CABEÇALHO 33 4" xfId="1338" xr:uid="{00000000-0005-0000-0000-0000D4020000}"/>
    <cellStyle name="CABEÇALHO 33 4 2" xfId="4034" xr:uid="{00000000-0005-0000-0000-0000D5020000}"/>
    <cellStyle name="CABEÇALHO 33 5" xfId="3268" xr:uid="{00000000-0005-0000-0000-0000D6020000}"/>
    <cellStyle name="CABEÇALHO 34" xfId="767" xr:uid="{00000000-0005-0000-0000-0000D7020000}"/>
    <cellStyle name="CABEÇALHO 34 2" xfId="1534" xr:uid="{00000000-0005-0000-0000-0000D8020000}"/>
    <cellStyle name="CABEÇALHO 34 2 2" xfId="4230" xr:uid="{00000000-0005-0000-0000-0000D9020000}"/>
    <cellStyle name="CABEÇALHO 34 3" xfId="3464" xr:uid="{00000000-0005-0000-0000-0000DA020000}"/>
    <cellStyle name="CABEÇALHO 35" xfId="770" xr:uid="{00000000-0005-0000-0000-0000DB020000}"/>
    <cellStyle name="CABEÇALHO 35 2" xfId="1537" xr:uid="{00000000-0005-0000-0000-0000DC020000}"/>
    <cellStyle name="CABEÇALHO 35 2 2" xfId="4233" xr:uid="{00000000-0005-0000-0000-0000DD020000}"/>
    <cellStyle name="CABEÇALHO 35 3" xfId="3467" xr:uid="{00000000-0005-0000-0000-0000DE020000}"/>
    <cellStyle name="CABEÇALHO 36" xfId="1155" xr:uid="{00000000-0005-0000-0000-0000DF020000}"/>
    <cellStyle name="CABEÇALHO 36 2" xfId="1922" xr:uid="{00000000-0005-0000-0000-0000E0020000}"/>
    <cellStyle name="CABEÇALHO 36 2 2" xfId="4618" xr:uid="{00000000-0005-0000-0000-0000E1020000}"/>
    <cellStyle name="CABEÇALHO 36 3" xfId="3852" xr:uid="{00000000-0005-0000-0000-0000E2020000}"/>
    <cellStyle name="CABEÇALHO 37" xfId="772" xr:uid="{00000000-0005-0000-0000-0000E3020000}"/>
    <cellStyle name="CABEÇALHO 37 2" xfId="1539" xr:uid="{00000000-0005-0000-0000-0000E4020000}"/>
    <cellStyle name="CABEÇALHO 37 2 2" xfId="4235" xr:uid="{00000000-0005-0000-0000-0000E5020000}"/>
    <cellStyle name="CABEÇALHO 37 3" xfId="3469" xr:uid="{00000000-0005-0000-0000-0000E6020000}"/>
    <cellStyle name="CABEÇALHO 38" xfId="1191" xr:uid="{00000000-0005-0000-0000-0000E7020000}"/>
    <cellStyle name="CABEÇALHO 38 2" xfId="1957" xr:uid="{00000000-0005-0000-0000-0000E8020000}"/>
    <cellStyle name="CABEÇALHO 38 2 2" xfId="4653" xr:uid="{00000000-0005-0000-0000-0000E9020000}"/>
    <cellStyle name="CABEÇALHO 38 3" xfId="3888" xr:uid="{00000000-0005-0000-0000-0000EA020000}"/>
    <cellStyle name="CABEÇALHO 39" xfId="1196" xr:uid="{00000000-0005-0000-0000-0000EB020000}"/>
    <cellStyle name="CABEÇALHO 39 2" xfId="1962" xr:uid="{00000000-0005-0000-0000-0000EC020000}"/>
    <cellStyle name="CABEÇALHO 39 2 2" xfId="4658" xr:uid="{00000000-0005-0000-0000-0000ED020000}"/>
    <cellStyle name="CABEÇALHO 39 3" xfId="3893" xr:uid="{00000000-0005-0000-0000-0000EE020000}"/>
    <cellStyle name="CABEÇALHO 4" xfId="561" xr:uid="{00000000-0005-0000-0000-0000EF020000}"/>
    <cellStyle name="CABEÇALHO 4 10" xfId="1109" xr:uid="{00000000-0005-0000-0000-0000F0020000}"/>
    <cellStyle name="CABEÇALHO 4 10 2" xfId="1876" xr:uid="{00000000-0005-0000-0000-0000F1020000}"/>
    <cellStyle name="CABEÇALHO 4 10 2 2" xfId="4572" xr:uid="{00000000-0005-0000-0000-0000F2020000}"/>
    <cellStyle name="CABEÇALHO 4 10 3" xfId="3806" xr:uid="{00000000-0005-0000-0000-0000F3020000}"/>
    <cellStyle name="CABEÇALHO 4 11" xfId="1329" xr:uid="{00000000-0005-0000-0000-0000F4020000}"/>
    <cellStyle name="CABEÇALHO 4 11 2" xfId="4025" xr:uid="{00000000-0005-0000-0000-0000F5020000}"/>
    <cellStyle name="CABEÇALHO 4 12" xfId="3259" xr:uid="{00000000-0005-0000-0000-0000F6020000}"/>
    <cellStyle name="CABEÇALHO 4 2" xfId="750" xr:uid="{00000000-0005-0000-0000-0000F7020000}"/>
    <cellStyle name="CABEÇALHO 4 2 2" xfId="1087" xr:uid="{00000000-0005-0000-0000-0000F8020000}"/>
    <cellStyle name="CABEÇALHO 4 2 2 2" xfId="1854" xr:uid="{00000000-0005-0000-0000-0000F9020000}"/>
    <cellStyle name="CABEÇALHO 4 2 2 2 2" xfId="4550" xr:uid="{00000000-0005-0000-0000-0000FA020000}"/>
    <cellStyle name="CABEÇALHO 4 2 2 3" xfId="3784" xr:uid="{00000000-0005-0000-0000-0000FB020000}"/>
    <cellStyle name="CABEÇALHO 4 2 3" xfId="1172" xr:uid="{00000000-0005-0000-0000-0000FC020000}"/>
    <cellStyle name="CABEÇALHO 4 2 3 2" xfId="1939" xr:uid="{00000000-0005-0000-0000-0000FD020000}"/>
    <cellStyle name="CABEÇALHO 4 2 3 2 2" xfId="4635" xr:uid="{00000000-0005-0000-0000-0000FE020000}"/>
    <cellStyle name="CABEÇALHO 4 2 3 3" xfId="3869" xr:uid="{00000000-0005-0000-0000-0000FF020000}"/>
    <cellStyle name="CABEÇALHO 4 2 4" xfId="1517" xr:uid="{00000000-0005-0000-0000-000000030000}"/>
    <cellStyle name="CABEÇALHO 4 2 4 2" xfId="4213" xr:uid="{00000000-0005-0000-0000-000001030000}"/>
    <cellStyle name="CABEÇALHO 4 2 5" xfId="3447" xr:uid="{00000000-0005-0000-0000-000002030000}"/>
    <cellStyle name="CABEÇALHO 4 3" xfId="613" xr:uid="{00000000-0005-0000-0000-000003030000}"/>
    <cellStyle name="CABEÇALHO 4 3 2" xfId="950" xr:uid="{00000000-0005-0000-0000-000004030000}"/>
    <cellStyle name="CABEÇALHO 4 3 2 2" xfId="1717" xr:uid="{00000000-0005-0000-0000-000005030000}"/>
    <cellStyle name="CABEÇALHO 4 3 2 2 2" xfId="4413" xr:uid="{00000000-0005-0000-0000-000006030000}"/>
    <cellStyle name="CABEÇALHO 4 3 2 3" xfId="3647" xr:uid="{00000000-0005-0000-0000-000007030000}"/>
    <cellStyle name="CABEÇALHO 4 3 3" xfId="1154" xr:uid="{00000000-0005-0000-0000-000008030000}"/>
    <cellStyle name="CABEÇALHO 4 3 3 2" xfId="1921" xr:uid="{00000000-0005-0000-0000-000009030000}"/>
    <cellStyle name="CABEÇALHO 4 3 3 2 2" xfId="4617" xr:uid="{00000000-0005-0000-0000-00000A030000}"/>
    <cellStyle name="CABEÇALHO 4 3 3 3" xfId="3851" xr:uid="{00000000-0005-0000-0000-00000B030000}"/>
    <cellStyle name="CABEÇALHO 4 3 4" xfId="1380" xr:uid="{00000000-0005-0000-0000-00000C030000}"/>
    <cellStyle name="CABEÇALHO 4 3 4 2" xfId="4076" xr:uid="{00000000-0005-0000-0000-00000D030000}"/>
    <cellStyle name="CABEÇALHO 4 3 5" xfId="3310" xr:uid="{00000000-0005-0000-0000-00000E030000}"/>
    <cellStyle name="CABEÇALHO 4 4" xfId="760" xr:uid="{00000000-0005-0000-0000-00000F030000}"/>
    <cellStyle name="CABEÇALHO 4 4 2" xfId="1097" xr:uid="{00000000-0005-0000-0000-000010030000}"/>
    <cellStyle name="CABEÇALHO 4 4 2 2" xfId="1864" xr:uid="{00000000-0005-0000-0000-000011030000}"/>
    <cellStyle name="CABEÇALHO 4 4 2 2 2" xfId="4560" xr:uid="{00000000-0005-0000-0000-000012030000}"/>
    <cellStyle name="CABEÇALHO 4 4 2 3" xfId="3794" xr:uid="{00000000-0005-0000-0000-000013030000}"/>
    <cellStyle name="CABEÇALHO 4 4 3" xfId="1182" xr:uid="{00000000-0005-0000-0000-000014030000}"/>
    <cellStyle name="CABEÇALHO 4 4 3 2" xfId="1949" xr:uid="{00000000-0005-0000-0000-000015030000}"/>
    <cellStyle name="CABEÇALHO 4 4 3 2 2" xfId="4645" xr:uid="{00000000-0005-0000-0000-000016030000}"/>
    <cellStyle name="CABEÇALHO 4 4 3 3" xfId="3879" xr:uid="{00000000-0005-0000-0000-000017030000}"/>
    <cellStyle name="CABEÇALHO 4 4 4" xfId="1527" xr:uid="{00000000-0005-0000-0000-000018030000}"/>
    <cellStyle name="CABEÇALHO 4 4 4 2" xfId="4223" xr:uid="{00000000-0005-0000-0000-000019030000}"/>
    <cellStyle name="CABEÇALHO 4 4 5" xfId="3457" xr:uid="{00000000-0005-0000-0000-00001A030000}"/>
    <cellStyle name="CABEÇALHO 4 5" xfId="763" xr:uid="{00000000-0005-0000-0000-00001B030000}"/>
    <cellStyle name="CABEÇALHO 4 5 2" xfId="1100" xr:uid="{00000000-0005-0000-0000-00001C030000}"/>
    <cellStyle name="CABEÇALHO 4 5 2 2" xfId="1867" xr:uid="{00000000-0005-0000-0000-00001D030000}"/>
    <cellStyle name="CABEÇALHO 4 5 2 2 2" xfId="4563" xr:uid="{00000000-0005-0000-0000-00001E030000}"/>
    <cellStyle name="CABEÇALHO 4 5 2 3" xfId="3797" xr:uid="{00000000-0005-0000-0000-00001F030000}"/>
    <cellStyle name="CABEÇALHO 4 5 3" xfId="1185" xr:uid="{00000000-0005-0000-0000-000020030000}"/>
    <cellStyle name="CABEÇALHO 4 5 3 2" xfId="1952" xr:uid="{00000000-0005-0000-0000-000021030000}"/>
    <cellStyle name="CABEÇALHO 4 5 3 2 2" xfId="4648" xr:uid="{00000000-0005-0000-0000-000022030000}"/>
    <cellStyle name="CABEÇALHO 4 5 3 3" xfId="3882" xr:uid="{00000000-0005-0000-0000-000023030000}"/>
    <cellStyle name="CABEÇALHO 4 5 4" xfId="1530" xr:uid="{00000000-0005-0000-0000-000024030000}"/>
    <cellStyle name="CABEÇALHO 4 5 4 2" xfId="4226" xr:uid="{00000000-0005-0000-0000-000025030000}"/>
    <cellStyle name="CABEÇALHO 4 5 5" xfId="3460" xr:uid="{00000000-0005-0000-0000-000026030000}"/>
    <cellStyle name="CABEÇALHO 4 6" xfId="604" xr:uid="{00000000-0005-0000-0000-000027030000}"/>
    <cellStyle name="CABEÇALHO 4 6 2" xfId="941" xr:uid="{00000000-0005-0000-0000-000028030000}"/>
    <cellStyle name="CABEÇALHO 4 6 2 2" xfId="1708" xr:uid="{00000000-0005-0000-0000-000029030000}"/>
    <cellStyle name="CABEÇALHO 4 6 2 2 2" xfId="4404" xr:uid="{00000000-0005-0000-0000-00002A030000}"/>
    <cellStyle name="CABEÇALHO 4 6 2 3" xfId="3638" xr:uid="{00000000-0005-0000-0000-00002B030000}"/>
    <cellStyle name="CABEÇALHO 4 6 3" xfId="1146" xr:uid="{00000000-0005-0000-0000-00002C030000}"/>
    <cellStyle name="CABEÇALHO 4 6 3 2" xfId="1913" xr:uid="{00000000-0005-0000-0000-00002D030000}"/>
    <cellStyle name="CABEÇALHO 4 6 3 2 2" xfId="4609" xr:uid="{00000000-0005-0000-0000-00002E030000}"/>
    <cellStyle name="CABEÇALHO 4 6 3 3" xfId="3843" xr:uid="{00000000-0005-0000-0000-00002F030000}"/>
    <cellStyle name="CABEÇALHO 4 6 4" xfId="1371" xr:uid="{00000000-0005-0000-0000-000030030000}"/>
    <cellStyle name="CABEÇALHO 4 6 4 2" xfId="4067" xr:uid="{00000000-0005-0000-0000-000031030000}"/>
    <cellStyle name="CABEÇALHO 4 6 5" xfId="3301" xr:uid="{00000000-0005-0000-0000-000032030000}"/>
    <cellStyle name="CABEÇALHO 4 7" xfId="737" xr:uid="{00000000-0005-0000-0000-000033030000}"/>
    <cellStyle name="CABEÇALHO 4 7 2" xfId="1074" xr:uid="{00000000-0005-0000-0000-000034030000}"/>
    <cellStyle name="CABEÇALHO 4 7 2 2" xfId="1841" xr:uid="{00000000-0005-0000-0000-000035030000}"/>
    <cellStyle name="CABEÇALHO 4 7 2 2 2" xfId="4537" xr:uid="{00000000-0005-0000-0000-000036030000}"/>
    <cellStyle name="CABEÇALHO 4 7 2 3" xfId="3771" xr:uid="{00000000-0005-0000-0000-000037030000}"/>
    <cellStyle name="CABEÇALHO 4 7 3" xfId="1159" xr:uid="{00000000-0005-0000-0000-000038030000}"/>
    <cellStyle name="CABEÇALHO 4 7 3 2" xfId="1926" xr:uid="{00000000-0005-0000-0000-000039030000}"/>
    <cellStyle name="CABEÇALHO 4 7 3 2 2" xfId="4622" xr:uid="{00000000-0005-0000-0000-00003A030000}"/>
    <cellStyle name="CABEÇALHO 4 7 3 3" xfId="3856" xr:uid="{00000000-0005-0000-0000-00003B030000}"/>
    <cellStyle name="CABEÇALHO 4 7 4" xfId="1504" xr:uid="{00000000-0005-0000-0000-00003C030000}"/>
    <cellStyle name="CABEÇALHO 4 7 4 2" xfId="4200" xr:uid="{00000000-0005-0000-0000-00003D030000}"/>
    <cellStyle name="CABEÇALHO 4 7 5" xfId="3434" xr:uid="{00000000-0005-0000-0000-00003E030000}"/>
    <cellStyle name="CABEÇALHO 4 8" xfId="582" xr:uid="{00000000-0005-0000-0000-00003F030000}"/>
    <cellStyle name="CABEÇALHO 4 8 2" xfId="919" xr:uid="{00000000-0005-0000-0000-000040030000}"/>
    <cellStyle name="CABEÇALHO 4 8 2 2" xfId="1686" xr:uid="{00000000-0005-0000-0000-000041030000}"/>
    <cellStyle name="CABEÇALHO 4 8 2 2 2" xfId="4382" xr:uid="{00000000-0005-0000-0000-000042030000}"/>
    <cellStyle name="CABEÇALHO 4 8 2 3" xfId="3616" xr:uid="{00000000-0005-0000-0000-000043030000}"/>
    <cellStyle name="CABEÇALHO 4 8 3" xfId="1125" xr:uid="{00000000-0005-0000-0000-000044030000}"/>
    <cellStyle name="CABEÇALHO 4 8 3 2" xfId="1892" xr:uid="{00000000-0005-0000-0000-000045030000}"/>
    <cellStyle name="CABEÇALHO 4 8 3 2 2" xfId="4588" xr:uid="{00000000-0005-0000-0000-000046030000}"/>
    <cellStyle name="CABEÇALHO 4 8 3 3" xfId="3822" xr:uid="{00000000-0005-0000-0000-000047030000}"/>
    <cellStyle name="CABEÇALHO 4 8 4" xfId="1349" xr:uid="{00000000-0005-0000-0000-000048030000}"/>
    <cellStyle name="CABEÇALHO 4 8 4 2" xfId="4045" xr:uid="{00000000-0005-0000-0000-000049030000}"/>
    <cellStyle name="CABEÇALHO 4 8 5" xfId="3279" xr:uid="{00000000-0005-0000-0000-00004A030000}"/>
    <cellStyle name="CABEÇALHO 4 9" xfId="899" xr:uid="{00000000-0005-0000-0000-00004B030000}"/>
    <cellStyle name="CABEÇALHO 4 9 2" xfId="1666" xr:uid="{00000000-0005-0000-0000-00004C030000}"/>
    <cellStyle name="CABEÇALHO 4 9 2 2" xfId="4362" xr:uid="{00000000-0005-0000-0000-00004D030000}"/>
    <cellStyle name="CABEÇALHO 4 9 3" xfId="3596" xr:uid="{00000000-0005-0000-0000-00004E030000}"/>
    <cellStyle name="CABEÇALHO 40" xfId="1195" xr:uid="{00000000-0005-0000-0000-00004F030000}"/>
    <cellStyle name="CABEÇALHO 40 2" xfId="1961" xr:uid="{00000000-0005-0000-0000-000050030000}"/>
    <cellStyle name="CABEÇALHO 40 2 2" xfId="4657" xr:uid="{00000000-0005-0000-0000-000051030000}"/>
    <cellStyle name="CABEÇALHO 40 3" xfId="3892" xr:uid="{00000000-0005-0000-0000-000052030000}"/>
    <cellStyle name="CABEÇALHO 41" xfId="1192" xr:uid="{00000000-0005-0000-0000-000053030000}"/>
    <cellStyle name="CABEÇALHO 41 2" xfId="1958" xr:uid="{00000000-0005-0000-0000-000054030000}"/>
    <cellStyle name="CABEÇALHO 41 2 2" xfId="4654" xr:uid="{00000000-0005-0000-0000-000055030000}"/>
    <cellStyle name="CABEÇALHO 41 3" xfId="3889" xr:uid="{00000000-0005-0000-0000-000056030000}"/>
    <cellStyle name="CABEÇALHO 42" xfId="775" xr:uid="{00000000-0005-0000-0000-000057030000}"/>
    <cellStyle name="CABEÇALHO 42 2" xfId="1542" xr:uid="{00000000-0005-0000-0000-000058030000}"/>
    <cellStyle name="CABEÇALHO 42 2 2" xfId="4238" xr:uid="{00000000-0005-0000-0000-000059030000}"/>
    <cellStyle name="CABEÇALHO 42 3" xfId="3472" xr:uid="{00000000-0005-0000-0000-00005A030000}"/>
    <cellStyle name="CABEÇALHO 43" xfId="1193" xr:uid="{00000000-0005-0000-0000-00005B030000}"/>
    <cellStyle name="CABEÇALHO 43 2" xfId="1959" xr:uid="{00000000-0005-0000-0000-00005C030000}"/>
    <cellStyle name="CABEÇALHO 43 2 2" xfId="4655" xr:uid="{00000000-0005-0000-0000-00005D030000}"/>
    <cellStyle name="CABEÇALHO 43 3" xfId="3890" xr:uid="{00000000-0005-0000-0000-00005E030000}"/>
    <cellStyle name="CABEÇALHO 44" xfId="1198" xr:uid="{00000000-0005-0000-0000-00005F030000}"/>
    <cellStyle name="CABEÇALHO 44 2" xfId="1963" xr:uid="{00000000-0005-0000-0000-000060030000}"/>
    <cellStyle name="CABEÇALHO 44 2 2" xfId="4659" xr:uid="{00000000-0005-0000-0000-000061030000}"/>
    <cellStyle name="CABEÇALHO 44 3" xfId="3895" xr:uid="{00000000-0005-0000-0000-000062030000}"/>
    <cellStyle name="CABEÇALHO 45" xfId="1105" xr:uid="{00000000-0005-0000-0000-000063030000}"/>
    <cellStyle name="CABEÇALHO 45 2" xfId="1872" xr:uid="{00000000-0005-0000-0000-000064030000}"/>
    <cellStyle name="CABEÇALHO 45 2 2" xfId="4568" xr:uid="{00000000-0005-0000-0000-000065030000}"/>
    <cellStyle name="CABEÇALHO 45 3" xfId="3802" xr:uid="{00000000-0005-0000-0000-000066030000}"/>
    <cellStyle name="CABEÇALHO 46" xfId="1200" xr:uid="{00000000-0005-0000-0000-000067030000}"/>
    <cellStyle name="CABEÇALHO 46 2" xfId="3896" xr:uid="{00000000-0005-0000-0000-000068030000}"/>
    <cellStyle name="CABEÇALHO 47" xfId="1203" xr:uid="{00000000-0005-0000-0000-000069030000}"/>
    <cellStyle name="CABEÇALHO 47 2" xfId="3899" xr:uid="{00000000-0005-0000-0000-00006A030000}"/>
    <cellStyle name="CABEÇALHO 48" xfId="1966" xr:uid="{00000000-0005-0000-0000-00006B030000}"/>
    <cellStyle name="CABEÇALHO 48 2" xfId="4662" xr:uid="{00000000-0005-0000-0000-00006C030000}"/>
    <cellStyle name="CABEÇALHO 49" xfId="1204" xr:uid="{00000000-0005-0000-0000-00006D030000}"/>
    <cellStyle name="CABEÇALHO 49 2" xfId="3900" xr:uid="{00000000-0005-0000-0000-00006E030000}"/>
    <cellStyle name="CABEÇALHO 5" xfId="496" xr:uid="{00000000-0005-0000-0000-00006F030000}"/>
    <cellStyle name="CABEÇALHO 5 10" xfId="567" xr:uid="{00000000-0005-0000-0000-000070030000}"/>
    <cellStyle name="CABEÇALHO 5 10 2" xfId="904" xr:uid="{00000000-0005-0000-0000-000071030000}"/>
    <cellStyle name="CABEÇALHO 5 10 2 2" xfId="1671" xr:uid="{00000000-0005-0000-0000-000072030000}"/>
    <cellStyle name="CABEÇALHO 5 10 2 2 2" xfId="4367" xr:uid="{00000000-0005-0000-0000-000073030000}"/>
    <cellStyle name="CABEÇALHO 5 10 2 3" xfId="3601" xr:uid="{00000000-0005-0000-0000-000074030000}"/>
    <cellStyle name="CABEÇALHO 5 10 3" xfId="1113" xr:uid="{00000000-0005-0000-0000-000075030000}"/>
    <cellStyle name="CABEÇALHO 5 10 3 2" xfId="1880" xr:uid="{00000000-0005-0000-0000-000076030000}"/>
    <cellStyle name="CABEÇALHO 5 10 3 2 2" xfId="4576" xr:uid="{00000000-0005-0000-0000-000077030000}"/>
    <cellStyle name="CABEÇALHO 5 10 3 3" xfId="3810" xr:uid="{00000000-0005-0000-0000-000078030000}"/>
    <cellStyle name="CABEÇALHO 5 10 4" xfId="1334" xr:uid="{00000000-0005-0000-0000-000079030000}"/>
    <cellStyle name="CABEÇALHO 5 10 4 2" xfId="4030" xr:uid="{00000000-0005-0000-0000-00007A030000}"/>
    <cellStyle name="CABEÇALHO 5 10 5" xfId="3264" xr:uid="{00000000-0005-0000-0000-00007B030000}"/>
    <cellStyle name="CABEÇALHO 5 11" xfId="594" xr:uid="{00000000-0005-0000-0000-00007C030000}"/>
    <cellStyle name="CABEÇALHO 5 11 2" xfId="931" xr:uid="{00000000-0005-0000-0000-00007D030000}"/>
    <cellStyle name="CABEÇALHO 5 11 2 2" xfId="1698" xr:uid="{00000000-0005-0000-0000-00007E030000}"/>
    <cellStyle name="CABEÇALHO 5 11 2 2 2" xfId="4394" xr:uid="{00000000-0005-0000-0000-00007F030000}"/>
    <cellStyle name="CABEÇALHO 5 11 2 3" xfId="3628" xr:uid="{00000000-0005-0000-0000-000080030000}"/>
    <cellStyle name="CABEÇALHO 5 11 3" xfId="1137" xr:uid="{00000000-0005-0000-0000-000081030000}"/>
    <cellStyle name="CABEÇALHO 5 11 3 2" xfId="1904" xr:uid="{00000000-0005-0000-0000-000082030000}"/>
    <cellStyle name="CABEÇALHO 5 11 3 2 2" xfId="4600" xr:uid="{00000000-0005-0000-0000-000083030000}"/>
    <cellStyle name="CABEÇALHO 5 11 3 3" xfId="3834" xr:uid="{00000000-0005-0000-0000-000084030000}"/>
    <cellStyle name="CABEÇALHO 5 11 4" xfId="1361" xr:uid="{00000000-0005-0000-0000-000085030000}"/>
    <cellStyle name="CABEÇALHO 5 11 4 2" xfId="4057" xr:uid="{00000000-0005-0000-0000-000086030000}"/>
    <cellStyle name="CABEÇALHO 5 11 5" xfId="3291" xr:uid="{00000000-0005-0000-0000-000087030000}"/>
    <cellStyle name="CABEÇALHO 5 12" xfId="598" xr:uid="{00000000-0005-0000-0000-000088030000}"/>
    <cellStyle name="CABEÇALHO 5 12 2" xfId="935" xr:uid="{00000000-0005-0000-0000-000089030000}"/>
    <cellStyle name="CABEÇALHO 5 12 2 2" xfId="1702" xr:uid="{00000000-0005-0000-0000-00008A030000}"/>
    <cellStyle name="CABEÇALHO 5 12 2 2 2" xfId="4398" xr:uid="{00000000-0005-0000-0000-00008B030000}"/>
    <cellStyle name="CABEÇALHO 5 12 2 3" xfId="3632" xr:uid="{00000000-0005-0000-0000-00008C030000}"/>
    <cellStyle name="CABEÇALHO 5 12 3" xfId="1141" xr:uid="{00000000-0005-0000-0000-00008D030000}"/>
    <cellStyle name="CABEÇALHO 5 12 3 2" xfId="1908" xr:uid="{00000000-0005-0000-0000-00008E030000}"/>
    <cellStyle name="CABEÇALHO 5 12 3 2 2" xfId="4604" xr:uid="{00000000-0005-0000-0000-00008F030000}"/>
    <cellStyle name="CABEÇALHO 5 12 3 3" xfId="3838" xr:uid="{00000000-0005-0000-0000-000090030000}"/>
    <cellStyle name="CABEÇALHO 5 12 4" xfId="1365" xr:uid="{00000000-0005-0000-0000-000091030000}"/>
    <cellStyle name="CABEÇALHO 5 12 4 2" xfId="4061" xr:uid="{00000000-0005-0000-0000-000092030000}"/>
    <cellStyle name="CABEÇALHO 5 12 5" xfId="3295" xr:uid="{00000000-0005-0000-0000-000093030000}"/>
    <cellStyle name="CABEÇALHO 5 13" xfId="588" xr:uid="{00000000-0005-0000-0000-000094030000}"/>
    <cellStyle name="CABEÇALHO 5 13 2" xfId="925" xr:uid="{00000000-0005-0000-0000-000095030000}"/>
    <cellStyle name="CABEÇALHO 5 13 2 2" xfId="1692" xr:uid="{00000000-0005-0000-0000-000096030000}"/>
    <cellStyle name="CABEÇALHO 5 13 2 2 2" xfId="4388" xr:uid="{00000000-0005-0000-0000-000097030000}"/>
    <cellStyle name="CABEÇALHO 5 13 2 3" xfId="3622" xr:uid="{00000000-0005-0000-0000-000098030000}"/>
    <cellStyle name="CABEÇALHO 5 13 3" xfId="1131" xr:uid="{00000000-0005-0000-0000-000099030000}"/>
    <cellStyle name="CABEÇALHO 5 13 3 2" xfId="1898" xr:uid="{00000000-0005-0000-0000-00009A030000}"/>
    <cellStyle name="CABEÇALHO 5 13 3 2 2" xfId="4594" xr:uid="{00000000-0005-0000-0000-00009B030000}"/>
    <cellStyle name="CABEÇALHO 5 13 3 3" xfId="3828" xr:uid="{00000000-0005-0000-0000-00009C030000}"/>
    <cellStyle name="CABEÇALHO 5 13 4" xfId="1355" xr:uid="{00000000-0005-0000-0000-00009D030000}"/>
    <cellStyle name="CABEÇALHO 5 13 4 2" xfId="4051" xr:uid="{00000000-0005-0000-0000-00009E030000}"/>
    <cellStyle name="CABEÇALHO 5 13 5" xfId="3285" xr:uid="{00000000-0005-0000-0000-00009F030000}"/>
    <cellStyle name="CABEÇALHO 5 14" xfId="569" xr:uid="{00000000-0005-0000-0000-0000A0030000}"/>
    <cellStyle name="CABEÇALHO 5 14 2" xfId="906" xr:uid="{00000000-0005-0000-0000-0000A1030000}"/>
    <cellStyle name="CABEÇALHO 5 14 2 2" xfId="1673" xr:uid="{00000000-0005-0000-0000-0000A2030000}"/>
    <cellStyle name="CABEÇALHO 5 14 2 2 2" xfId="4369" xr:uid="{00000000-0005-0000-0000-0000A3030000}"/>
    <cellStyle name="CABEÇALHO 5 14 2 3" xfId="3603" xr:uid="{00000000-0005-0000-0000-0000A4030000}"/>
    <cellStyle name="CABEÇALHO 5 14 3" xfId="1115" xr:uid="{00000000-0005-0000-0000-0000A5030000}"/>
    <cellStyle name="CABEÇALHO 5 14 3 2" xfId="1882" xr:uid="{00000000-0005-0000-0000-0000A6030000}"/>
    <cellStyle name="CABEÇALHO 5 14 3 2 2" xfId="4578" xr:uid="{00000000-0005-0000-0000-0000A7030000}"/>
    <cellStyle name="CABEÇALHO 5 14 3 3" xfId="3812" xr:uid="{00000000-0005-0000-0000-0000A8030000}"/>
    <cellStyle name="CABEÇALHO 5 14 4" xfId="1336" xr:uid="{00000000-0005-0000-0000-0000A9030000}"/>
    <cellStyle name="CABEÇALHO 5 14 4 2" xfId="4032" xr:uid="{00000000-0005-0000-0000-0000AA030000}"/>
    <cellStyle name="CABEÇALHO 5 14 5" xfId="3266" xr:uid="{00000000-0005-0000-0000-0000AB030000}"/>
    <cellStyle name="CABEÇALHO 5 15" xfId="585" xr:uid="{00000000-0005-0000-0000-0000AC030000}"/>
    <cellStyle name="CABEÇALHO 5 15 2" xfId="922" xr:uid="{00000000-0005-0000-0000-0000AD030000}"/>
    <cellStyle name="CABEÇALHO 5 15 2 2" xfId="1689" xr:uid="{00000000-0005-0000-0000-0000AE030000}"/>
    <cellStyle name="CABEÇALHO 5 15 2 2 2" xfId="4385" xr:uid="{00000000-0005-0000-0000-0000AF030000}"/>
    <cellStyle name="CABEÇALHO 5 15 2 3" xfId="3619" xr:uid="{00000000-0005-0000-0000-0000B0030000}"/>
    <cellStyle name="CABEÇALHO 5 15 3" xfId="1128" xr:uid="{00000000-0005-0000-0000-0000B1030000}"/>
    <cellStyle name="CABEÇALHO 5 15 3 2" xfId="1895" xr:uid="{00000000-0005-0000-0000-0000B2030000}"/>
    <cellStyle name="CABEÇALHO 5 15 3 2 2" xfId="4591" xr:uid="{00000000-0005-0000-0000-0000B3030000}"/>
    <cellStyle name="CABEÇALHO 5 15 3 3" xfId="3825" xr:uid="{00000000-0005-0000-0000-0000B4030000}"/>
    <cellStyle name="CABEÇALHO 5 15 4" xfId="1352" xr:uid="{00000000-0005-0000-0000-0000B5030000}"/>
    <cellStyle name="CABEÇALHO 5 15 4 2" xfId="4048" xr:uid="{00000000-0005-0000-0000-0000B6030000}"/>
    <cellStyle name="CABEÇALHO 5 15 5" xfId="3282" xr:uid="{00000000-0005-0000-0000-0000B7030000}"/>
    <cellStyle name="CABEÇALHO 5 16" xfId="564" xr:uid="{00000000-0005-0000-0000-0000B8030000}"/>
    <cellStyle name="CABEÇALHO 5 16 2" xfId="901" xr:uid="{00000000-0005-0000-0000-0000B9030000}"/>
    <cellStyle name="CABEÇALHO 5 16 2 2" xfId="1668" xr:uid="{00000000-0005-0000-0000-0000BA030000}"/>
    <cellStyle name="CABEÇALHO 5 16 2 2 2" xfId="4364" xr:uid="{00000000-0005-0000-0000-0000BB030000}"/>
    <cellStyle name="CABEÇALHO 5 16 2 3" xfId="3598" xr:uid="{00000000-0005-0000-0000-0000BC030000}"/>
    <cellStyle name="CABEÇALHO 5 16 3" xfId="1110" xr:uid="{00000000-0005-0000-0000-0000BD030000}"/>
    <cellStyle name="CABEÇALHO 5 16 3 2" xfId="1877" xr:uid="{00000000-0005-0000-0000-0000BE030000}"/>
    <cellStyle name="CABEÇALHO 5 16 3 2 2" xfId="4573" xr:uid="{00000000-0005-0000-0000-0000BF030000}"/>
    <cellStyle name="CABEÇALHO 5 16 3 3" xfId="3807" xr:uid="{00000000-0005-0000-0000-0000C0030000}"/>
    <cellStyle name="CABEÇALHO 5 16 4" xfId="1331" xr:uid="{00000000-0005-0000-0000-0000C1030000}"/>
    <cellStyle name="CABEÇALHO 5 16 4 2" xfId="4027" xr:uid="{00000000-0005-0000-0000-0000C2030000}"/>
    <cellStyle name="CABEÇALHO 5 16 5" xfId="3261" xr:uid="{00000000-0005-0000-0000-0000C3030000}"/>
    <cellStyle name="CABEÇALHO 5 17" xfId="834" xr:uid="{00000000-0005-0000-0000-0000C4030000}"/>
    <cellStyle name="CABEÇALHO 5 17 2" xfId="1601" xr:uid="{00000000-0005-0000-0000-0000C5030000}"/>
    <cellStyle name="CABEÇALHO 5 17 2 2" xfId="4297" xr:uid="{00000000-0005-0000-0000-0000C6030000}"/>
    <cellStyle name="CABEÇALHO 5 17 3" xfId="3531" xr:uid="{00000000-0005-0000-0000-0000C7030000}"/>
    <cellStyle name="CABEÇALHO 5 18" xfId="1106" xr:uid="{00000000-0005-0000-0000-0000C8030000}"/>
    <cellStyle name="CABEÇALHO 5 18 2" xfId="1873" xr:uid="{00000000-0005-0000-0000-0000C9030000}"/>
    <cellStyle name="CABEÇALHO 5 18 2 2" xfId="4569" xr:uid="{00000000-0005-0000-0000-0000CA030000}"/>
    <cellStyle name="CABEÇALHO 5 18 3" xfId="3803" xr:uid="{00000000-0005-0000-0000-0000CB030000}"/>
    <cellStyle name="CABEÇALHO 5 19" xfId="1194" xr:uid="{00000000-0005-0000-0000-0000CC030000}"/>
    <cellStyle name="CABEÇALHO 5 19 2" xfId="1960" xr:uid="{00000000-0005-0000-0000-0000CD030000}"/>
    <cellStyle name="CABEÇALHO 5 19 2 2" xfId="4656" xr:uid="{00000000-0005-0000-0000-0000CE030000}"/>
    <cellStyle name="CABEÇALHO 5 19 3" xfId="3891" xr:uid="{00000000-0005-0000-0000-0000CF030000}"/>
    <cellStyle name="CABEÇALHO 5 2" xfId="671" xr:uid="{00000000-0005-0000-0000-0000D0030000}"/>
    <cellStyle name="CABEÇALHO 5 2 2" xfId="1008" xr:uid="{00000000-0005-0000-0000-0000D1030000}"/>
    <cellStyle name="CABEÇALHO 5 2 2 2" xfId="1775" xr:uid="{00000000-0005-0000-0000-0000D2030000}"/>
    <cellStyle name="CABEÇALHO 5 2 2 2 2" xfId="4471" xr:uid="{00000000-0005-0000-0000-0000D3030000}"/>
    <cellStyle name="CABEÇALHO 5 2 2 3" xfId="3705" xr:uid="{00000000-0005-0000-0000-0000D4030000}"/>
    <cellStyle name="CABEÇALHO 5 2 3" xfId="1156" xr:uid="{00000000-0005-0000-0000-0000D5030000}"/>
    <cellStyle name="CABEÇALHO 5 2 3 2" xfId="1923" xr:uid="{00000000-0005-0000-0000-0000D6030000}"/>
    <cellStyle name="CABEÇALHO 5 2 3 2 2" xfId="4619" xr:uid="{00000000-0005-0000-0000-0000D7030000}"/>
    <cellStyle name="CABEÇALHO 5 2 3 3" xfId="3853" xr:uid="{00000000-0005-0000-0000-0000D8030000}"/>
    <cellStyle name="CABEÇALHO 5 2 4" xfId="1438" xr:uid="{00000000-0005-0000-0000-0000D9030000}"/>
    <cellStyle name="CABEÇALHO 5 2 4 2" xfId="4134" xr:uid="{00000000-0005-0000-0000-0000DA030000}"/>
    <cellStyle name="CABEÇALHO 5 2 5" xfId="3368" xr:uid="{00000000-0005-0000-0000-0000DB030000}"/>
    <cellStyle name="CABEÇALHO 5 20" xfId="1197" xr:uid="{00000000-0005-0000-0000-0000DC030000}"/>
    <cellStyle name="CABEÇALHO 5 20 2" xfId="3894" xr:uid="{00000000-0005-0000-0000-0000DD030000}"/>
    <cellStyle name="CABEÇALHO 5 21" xfId="1965" xr:uid="{00000000-0005-0000-0000-0000DE030000}"/>
    <cellStyle name="CABEÇALHO 5 21 2" xfId="4661" xr:uid="{00000000-0005-0000-0000-0000DF030000}"/>
    <cellStyle name="CABEÇALHO 5 22" xfId="3194" xr:uid="{00000000-0005-0000-0000-0000E0030000}"/>
    <cellStyle name="CABEÇALHO 5 3" xfId="740" xr:uid="{00000000-0005-0000-0000-0000E1030000}"/>
    <cellStyle name="CABEÇALHO 5 3 2" xfId="1077" xr:uid="{00000000-0005-0000-0000-0000E2030000}"/>
    <cellStyle name="CABEÇALHO 5 3 2 2" xfId="1844" xr:uid="{00000000-0005-0000-0000-0000E3030000}"/>
    <cellStyle name="CABEÇALHO 5 3 2 2 2" xfId="4540" xr:uid="{00000000-0005-0000-0000-0000E4030000}"/>
    <cellStyle name="CABEÇALHO 5 3 2 3" xfId="3774" xr:uid="{00000000-0005-0000-0000-0000E5030000}"/>
    <cellStyle name="CABEÇALHO 5 3 3" xfId="1162" xr:uid="{00000000-0005-0000-0000-0000E6030000}"/>
    <cellStyle name="CABEÇALHO 5 3 3 2" xfId="1929" xr:uid="{00000000-0005-0000-0000-0000E7030000}"/>
    <cellStyle name="CABEÇALHO 5 3 3 2 2" xfId="4625" xr:uid="{00000000-0005-0000-0000-0000E8030000}"/>
    <cellStyle name="CABEÇALHO 5 3 3 3" xfId="3859" xr:uid="{00000000-0005-0000-0000-0000E9030000}"/>
    <cellStyle name="CABEÇALHO 5 3 4" xfId="1507" xr:uid="{00000000-0005-0000-0000-0000EA030000}"/>
    <cellStyle name="CABEÇALHO 5 3 4 2" xfId="4203" xr:uid="{00000000-0005-0000-0000-0000EB030000}"/>
    <cellStyle name="CABEÇALHO 5 3 5" xfId="3437" xr:uid="{00000000-0005-0000-0000-0000EC030000}"/>
    <cellStyle name="CABEÇALHO 5 4" xfId="743" xr:uid="{00000000-0005-0000-0000-0000ED030000}"/>
    <cellStyle name="CABEÇALHO 5 4 2" xfId="1080" xr:uid="{00000000-0005-0000-0000-0000EE030000}"/>
    <cellStyle name="CABEÇALHO 5 4 2 2" xfId="1847" xr:uid="{00000000-0005-0000-0000-0000EF030000}"/>
    <cellStyle name="CABEÇALHO 5 4 2 2 2" xfId="4543" xr:uid="{00000000-0005-0000-0000-0000F0030000}"/>
    <cellStyle name="CABEÇALHO 5 4 2 3" xfId="3777" xr:uid="{00000000-0005-0000-0000-0000F1030000}"/>
    <cellStyle name="CABEÇALHO 5 4 3" xfId="1165" xr:uid="{00000000-0005-0000-0000-0000F2030000}"/>
    <cellStyle name="CABEÇALHO 5 4 3 2" xfId="1932" xr:uid="{00000000-0005-0000-0000-0000F3030000}"/>
    <cellStyle name="CABEÇALHO 5 4 3 2 2" xfId="4628" xr:uid="{00000000-0005-0000-0000-0000F4030000}"/>
    <cellStyle name="CABEÇALHO 5 4 3 3" xfId="3862" xr:uid="{00000000-0005-0000-0000-0000F5030000}"/>
    <cellStyle name="CABEÇALHO 5 4 4" xfId="1510" xr:uid="{00000000-0005-0000-0000-0000F6030000}"/>
    <cellStyle name="CABEÇALHO 5 4 4 2" xfId="4206" xr:uid="{00000000-0005-0000-0000-0000F7030000}"/>
    <cellStyle name="CABEÇALHO 5 4 5" xfId="3440" xr:uid="{00000000-0005-0000-0000-0000F8030000}"/>
    <cellStyle name="CABEÇALHO 5 5" xfId="596" xr:uid="{00000000-0005-0000-0000-0000F9030000}"/>
    <cellStyle name="CABEÇALHO 5 5 2" xfId="933" xr:uid="{00000000-0005-0000-0000-0000FA030000}"/>
    <cellStyle name="CABEÇALHO 5 5 2 2" xfId="1700" xr:uid="{00000000-0005-0000-0000-0000FB030000}"/>
    <cellStyle name="CABEÇALHO 5 5 2 2 2" xfId="4396" xr:uid="{00000000-0005-0000-0000-0000FC030000}"/>
    <cellStyle name="CABEÇALHO 5 5 2 3" xfId="3630" xr:uid="{00000000-0005-0000-0000-0000FD030000}"/>
    <cellStyle name="CABEÇALHO 5 5 3" xfId="1139" xr:uid="{00000000-0005-0000-0000-0000FE030000}"/>
    <cellStyle name="CABEÇALHO 5 5 3 2" xfId="1906" xr:uid="{00000000-0005-0000-0000-0000FF030000}"/>
    <cellStyle name="CABEÇALHO 5 5 3 2 2" xfId="4602" xr:uid="{00000000-0005-0000-0000-000000040000}"/>
    <cellStyle name="CABEÇALHO 5 5 3 3" xfId="3836" xr:uid="{00000000-0005-0000-0000-000001040000}"/>
    <cellStyle name="CABEÇALHO 5 5 4" xfId="1363" xr:uid="{00000000-0005-0000-0000-000002040000}"/>
    <cellStyle name="CABEÇALHO 5 5 4 2" xfId="4059" xr:uid="{00000000-0005-0000-0000-000003040000}"/>
    <cellStyle name="CABEÇALHO 5 5 5" xfId="3293" xr:uid="{00000000-0005-0000-0000-000004040000}"/>
    <cellStyle name="CABEÇALHO 5 6" xfId="610" xr:uid="{00000000-0005-0000-0000-000005040000}"/>
    <cellStyle name="CABEÇALHO 5 6 2" xfId="947" xr:uid="{00000000-0005-0000-0000-000006040000}"/>
    <cellStyle name="CABEÇALHO 5 6 2 2" xfId="1714" xr:uid="{00000000-0005-0000-0000-000007040000}"/>
    <cellStyle name="CABEÇALHO 5 6 2 2 2" xfId="4410" xr:uid="{00000000-0005-0000-0000-000008040000}"/>
    <cellStyle name="CABEÇALHO 5 6 2 3" xfId="3644" xr:uid="{00000000-0005-0000-0000-000009040000}"/>
    <cellStyle name="CABEÇALHO 5 6 3" xfId="1151" xr:uid="{00000000-0005-0000-0000-00000A040000}"/>
    <cellStyle name="CABEÇALHO 5 6 3 2" xfId="1918" xr:uid="{00000000-0005-0000-0000-00000B040000}"/>
    <cellStyle name="CABEÇALHO 5 6 3 2 2" xfId="4614" xr:uid="{00000000-0005-0000-0000-00000C040000}"/>
    <cellStyle name="CABEÇALHO 5 6 3 3" xfId="3848" xr:uid="{00000000-0005-0000-0000-00000D040000}"/>
    <cellStyle name="CABEÇALHO 5 6 4" xfId="1377" xr:uid="{00000000-0005-0000-0000-00000E040000}"/>
    <cellStyle name="CABEÇALHO 5 6 4 2" xfId="4073" xr:uid="{00000000-0005-0000-0000-00000F040000}"/>
    <cellStyle name="CABEÇALHO 5 6 5" xfId="3307" xr:uid="{00000000-0005-0000-0000-000010040000}"/>
    <cellStyle name="CABEÇALHO 5 7" xfId="609" xr:uid="{00000000-0005-0000-0000-000011040000}"/>
    <cellStyle name="CABEÇALHO 5 7 2" xfId="946" xr:uid="{00000000-0005-0000-0000-000012040000}"/>
    <cellStyle name="CABEÇALHO 5 7 2 2" xfId="1713" xr:uid="{00000000-0005-0000-0000-000013040000}"/>
    <cellStyle name="CABEÇALHO 5 7 2 2 2" xfId="4409" xr:uid="{00000000-0005-0000-0000-000014040000}"/>
    <cellStyle name="CABEÇALHO 5 7 2 3" xfId="3643" xr:uid="{00000000-0005-0000-0000-000015040000}"/>
    <cellStyle name="CABEÇALHO 5 7 3" xfId="1150" xr:uid="{00000000-0005-0000-0000-000016040000}"/>
    <cellStyle name="CABEÇALHO 5 7 3 2" xfId="1917" xr:uid="{00000000-0005-0000-0000-000017040000}"/>
    <cellStyle name="CABEÇALHO 5 7 3 2 2" xfId="4613" xr:uid="{00000000-0005-0000-0000-000018040000}"/>
    <cellStyle name="CABEÇALHO 5 7 3 3" xfId="3847" xr:uid="{00000000-0005-0000-0000-000019040000}"/>
    <cellStyle name="CABEÇALHO 5 7 4" xfId="1376" xr:uid="{00000000-0005-0000-0000-00001A040000}"/>
    <cellStyle name="CABEÇALHO 5 7 4 2" xfId="4072" xr:uid="{00000000-0005-0000-0000-00001B040000}"/>
    <cellStyle name="CABEÇALHO 5 7 5" xfId="3306" xr:uid="{00000000-0005-0000-0000-00001C040000}"/>
    <cellStyle name="CABEÇALHO 5 8" xfId="755" xr:uid="{00000000-0005-0000-0000-00001D040000}"/>
    <cellStyle name="CABEÇALHO 5 8 2" xfId="1092" xr:uid="{00000000-0005-0000-0000-00001E040000}"/>
    <cellStyle name="CABEÇALHO 5 8 2 2" xfId="1859" xr:uid="{00000000-0005-0000-0000-00001F040000}"/>
    <cellStyle name="CABEÇALHO 5 8 2 2 2" xfId="4555" xr:uid="{00000000-0005-0000-0000-000020040000}"/>
    <cellStyle name="CABEÇALHO 5 8 2 3" xfId="3789" xr:uid="{00000000-0005-0000-0000-000021040000}"/>
    <cellStyle name="CABEÇALHO 5 8 3" xfId="1177" xr:uid="{00000000-0005-0000-0000-000022040000}"/>
    <cellStyle name="CABEÇALHO 5 8 3 2" xfId="1944" xr:uid="{00000000-0005-0000-0000-000023040000}"/>
    <cellStyle name="CABEÇALHO 5 8 3 2 2" xfId="4640" xr:uid="{00000000-0005-0000-0000-000024040000}"/>
    <cellStyle name="CABEÇALHO 5 8 3 3" xfId="3874" xr:uid="{00000000-0005-0000-0000-000025040000}"/>
    <cellStyle name="CABEÇALHO 5 8 4" xfId="1522" xr:uid="{00000000-0005-0000-0000-000026040000}"/>
    <cellStyle name="CABEÇALHO 5 8 4 2" xfId="4218" xr:uid="{00000000-0005-0000-0000-000027040000}"/>
    <cellStyle name="CABEÇALHO 5 8 5" xfId="3452" xr:uid="{00000000-0005-0000-0000-000028040000}"/>
    <cellStyle name="CABEÇALHO 5 9" xfId="754" xr:uid="{00000000-0005-0000-0000-000029040000}"/>
    <cellStyle name="CABEÇALHO 5 9 2" xfId="1091" xr:uid="{00000000-0005-0000-0000-00002A040000}"/>
    <cellStyle name="CABEÇALHO 5 9 2 2" xfId="1858" xr:uid="{00000000-0005-0000-0000-00002B040000}"/>
    <cellStyle name="CABEÇALHO 5 9 2 2 2" xfId="4554" xr:uid="{00000000-0005-0000-0000-00002C040000}"/>
    <cellStyle name="CABEÇALHO 5 9 2 3" xfId="3788" xr:uid="{00000000-0005-0000-0000-00002D040000}"/>
    <cellStyle name="CABEÇALHO 5 9 3" xfId="1176" xr:uid="{00000000-0005-0000-0000-00002E040000}"/>
    <cellStyle name="CABEÇALHO 5 9 3 2" xfId="1943" xr:uid="{00000000-0005-0000-0000-00002F040000}"/>
    <cellStyle name="CABEÇALHO 5 9 3 2 2" xfId="4639" xr:uid="{00000000-0005-0000-0000-000030040000}"/>
    <cellStyle name="CABEÇALHO 5 9 3 3" xfId="3873" xr:uid="{00000000-0005-0000-0000-000031040000}"/>
    <cellStyle name="CABEÇALHO 5 9 4" xfId="1521" xr:uid="{00000000-0005-0000-0000-000032040000}"/>
    <cellStyle name="CABEÇALHO 5 9 4 2" xfId="4217" xr:uid="{00000000-0005-0000-0000-000033040000}"/>
    <cellStyle name="CABEÇALHO 5 9 5" xfId="3451" xr:uid="{00000000-0005-0000-0000-000034040000}"/>
    <cellStyle name="CABEÇALHO 50" xfId="3080" xr:uid="{00000000-0005-0000-0000-000035040000}"/>
    <cellStyle name="CABEÇALHO 6" xfId="565" xr:uid="{00000000-0005-0000-0000-000036040000}"/>
    <cellStyle name="CABEÇALHO 6 2" xfId="902" xr:uid="{00000000-0005-0000-0000-000037040000}"/>
    <cellStyle name="CABEÇALHO 6 2 2" xfId="1669" xr:uid="{00000000-0005-0000-0000-000038040000}"/>
    <cellStyle name="CABEÇALHO 6 2 2 2" xfId="4365" xr:uid="{00000000-0005-0000-0000-000039040000}"/>
    <cellStyle name="CABEÇALHO 6 2 3" xfId="3599" xr:uid="{00000000-0005-0000-0000-00003A040000}"/>
    <cellStyle name="CABEÇALHO 6 3" xfId="1111" xr:uid="{00000000-0005-0000-0000-00003B040000}"/>
    <cellStyle name="CABEÇALHO 6 3 2" xfId="1878" xr:uid="{00000000-0005-0000-0000-00003C040000}"/>
    <cellStyle name="CABEÇALHO 6 3 2 2" xfId="4574" xr:uid="{00000000-0005-0000-0000-00003D040000}"/>
    <cellStyle name="CABEÇALHO 6 3 3" xfId="3808" xr:uid="{00000000-0005-0000-0000-00003E040000}"/>
    <cellStyle name="CABEÇALHO 6 4" xfId="1332" xr:uid="{00000000-0005-0000-0000-00003F040000}"/>
    <cellStyle name="CABEÇALHO 6 4 2" xfId="4028" xr:uid="{00000000-0005-0000-0000-000040040000}"/>
    <cellStyle name="CABEÇALHO 6 5" xfId="3262" xr:uid="{00000000-0005-0000-0000-000041040000}"/>
    <cellStyle name="CABEÇALHO 7" xfId="576" xr:uid="{00000000-0005-0000-0000-000042040000}"/>
    <cellStyle name="CABEÇALHO 7 2" xfId="913" xr:uid="{00000000-0005-0000-0000-000043040000}"/>
    <cellStyle name="CABEÇALHO 7 2 2" xfId="1680" xr:uid="{00000000-0005-0000-0000-000044040000}"/>
    <cellStyle name="CABEÇALHO 7 2 2 2" xfId="4376" xr:uid="{00000000-0005-0000-0000-000045040000}"/>
    <cellStyle name="CABEÇALHO 7 2 3" xfId="3610" xr:uid="{00000000-0005-0000-0000-000046040000}"/>
    <cellStyle name="CABEÇALHO 7 3" xfId="1120" xr:uid="{00000000-0005-0000-0000-000047040000}"/>
    <cellStyle name="CABEÇALHO 7 3 2" xfId="1887" xr:uid="{00000000-0005-0000-0000-000048040000}"/>
    <cellStyle name="CABEÇALHO 7 3 2 2" xfId="4583" xr:uid="{00000000-0005-0000-0000-000049040000}"/>
    <cellStyle name="CABEÇALHO 7 3 3" xfId="3817" xr:uid="{00000000-0005-0000-0000-00004A040000}"/>
    <cellStyle name="CABEÇALHO 7 4" xfId="1343" xr:uid="{00000000-0005-0000-0000-00004B040000}"/>
    <cellStyle name="CABEÇALHO 7 4 2" xfId="4039" xr:uid="{00000000-0005-0000-0000-00004C040000}"/>
    <cellStyle name="CABEÇALHO 7 5" xfId="3273" xr:uid="{00000000-0005-0000-0000-00004D040000}"/>
    <cellStyle name="CABEÇALHO 8" xfId="748" xr:uid="{00000000-0005-0000-0000-00004E040000}"/>
    <cellStyle name="CABEÇALHO 8 2" xfId="1085" xr:uid="{00000000-0005-0000-0000-00004F040000}"/>
    <cellStyle name="CABEÇALHO 8 2 2" xfId="1852" xr:uid="{00000000-0005-0000-0000-000050040000}"/>
    <cellStyle name="CABEÇALHO 8 2 2 2" xfId="4548" xr:uid="{00000000-0005-0000-0000-000051040000}"/>
    <cellStyle name="CABEÇALHO 8 2 3" xfId="3782" xr:uid="{00000000-0005-0000-0000-000052040000}"/>
    <cellStyle name="CABEÇALHO 8 3" xfId="1170" xr:uid="{00000000-0005-0000-0000-000053040000}"/>
    <cellStyle name="CABEÇALHO 8 3 2" xfId="1937" xr:uid="{00000000-0005-0000-0000-000054040000}"/>
    <cellStyle name="CABEÇALHO 8 3 2 2" xfId="4633" xr:uid="{00000000-0005-0000-0000-000055040000}"/>
    <cellStyle name="CABEÇALHO 8 3 3" xfId="3867" xr:uid="{00000000-0005-0000-0000-000056040000}"/>
    <cellStyle name="CABEÇALHO 8 4" xfId="1515" xr:uid="{00000000-0005-0000-0000-000057040000}"/>
    <cellStyle name="CABEÇALHO 8 4 2" xfId="4211" xr:uid="{00000000-0005-0000-0000-000058040000}"/>
    <cellStyle name="CABEÇALHO 8 5" xfId="3445" xr:uid="{00000000-0005-0000-0000-000059040000}"/>
    <cellStyle name="CABEÇALHO 9" xfId="573" xr:uid="{00000000-0005-0000-0000-00005A040000}"/>
    <cellStyle name="CABEÇALHO 9 2" xfId="910" xr:uid="{00000000-0005-0000-0000-00005B040000}"/>
    <cellStyle name="CABEÇALHO 9 2 2" xfId="1677" xr:uid="{00000000-0005-0000-0000-00005C040000}"/>
    <cellStyle name="CABEÇALHO 9 2 2 2" xfId="4373" xr:uid="{00000000-0005-0000-0000-00005D040000}"/>
    <cellStyle name="CABEÇALHO 9 2 3" xfId="3607" xr:uid="{00000000-0005-0000-0000-00005E040000}"/>
    <cellStyle name="CABEÇALHO 9 3" xfId="1118" xr:uid="{00000000-0005-0000-0000-00005F040000}"/>
    <cellStyle name="CABEÇALHO 9 3 2" xfId="1885" xr:uid="{00000000-0005-0000-0000-000060040000}"/>
    <cellStyle name="CABEÇALHO 9 3 2 2" xfId="4581" xr:uid="{00000000-0005-0000-0000-000061040000}"/>
    <cellStyle name="CABEÇALHO 9 3 3" xfId="3815" xr:uid="{00000000-0005-0000-0000-000062040000}"/>
    <cellStyle name="CABEÇALHO 9 4" xfId="1340" xr:uid="{00000000-0005-0000-0000-000063040000}"/>
    <cellStyle name="CABEÇALHO 9 4 2" xfId="4036" xr:uid="{00000000-0005-0000-0000-000064040000}"/>
    <cellStyle name="CABEÇALHO 9 5" xfId="3270" xr:uid="{00000000-0005-0000-0000-000065040000}"/>
    <cellStyle name="Calculation" xfId="32" xr:uid="{00000000-0005-0000-0000-000066040000}"/>
    <cellStyle name="Calculation 2" xfId="3057" xr:uid="{00000000-0005-0000-0000-000067040000}"/>
    <cellStyle name="Cálculo 2" xfId="198" xr:uid="{00000000-0005-0000-0000-000068040000}"/>
    <cellStyle name="Cálculo 2 2" xfId="3092" xr:uid="{00000000-0005-0000-0000-000069040000}"/>
    <cellStyle name="Célula de Verificação 2" xfId="199" xr:uid="{00000000-0005-0000-0000-00006A040000}"/>
    <cellStyle name="Célula Vinculada 2" xfId="200" xr:uid="{00000000-0005-0000-0000-00006B040000}"/>
    <cellStyle name="Check Cell" xfId="33" xr:uid="{00000000-0005-0000-0000-00006C040000}"/>
    <cellStyle name="Comma 2" xfId="34" xr:uid="{00000000-0005-0000-0000-00006D040000}"/>
    <cellStyle name="Comma 2 2" xfId="65" xr:uid="{00000000-0005-0000-0000-00006E040000}"/>
    <cellStyle name="Comma 2 2 2" xfId="5753" xr:uid="{00000000-0005-0000-0000-00006F040000}"/>
    <cellStyle name="Comma 2 3" xfId="5754" xr:uid="{00000000-0005-0000-0000-000070040000}"/>
    <cellStyle name="Comma 2 4" xfId="5752" xr:uid="{00000000-0005-0000-0000-000071040000}"/>
    <cellStyle name="Comma 3" xfId="5755" xr:uid="{00000000-0005-0000-0000-000072040000}"/>
    <cellStyle name="Comma 3 2" xfId="5756" xr:uid="{00000000-0005-0000-0000-000073040000}"/>
    <cellStyle name="Comma 4" xfId="5757" xr:uid="{00000000-0005-0000-0000-000074040000}"/>
    <cellStyle name="Comma 5" xfId="5758" xr:uid="{00000000-0005-0000-0000-000075040000}"/>
    <cellStyle name="Comma0" xfId="201" xr:uid="{00000000-0005-0000-0000-000076040000}"/>
    <cellStyle name="Data" xfId="202" xr:uid="{00000000-0005-0000-0000-000077040000}"/>
    <cellStyle name="Ênfase1 2" xfId="203" xr:uid="{00000000-0005-0000-0000-000078040000}"/>
    <cellStyle name="Ênfase2 2" xfId="204" xr:uid="{00000000-0005-0000-0000-000079040000}"/>
    <cellStyle name="Ênfase3 2" xfId="205" xr:uid="{00000000-0005-0000-0000-00007A040000}"/>
    <cellStyle name="Ênfase4 2" xfId="206" xr:uid="{00000000-0005-0000-0000-00007B040000}"/>
    <cellStyle name="Ênfase5 2" xfId="207" xr:uid="{00000000-0005-0000-0000-00007C040000}"/>
    <cellStyle name="Ênfase6 2" xfId="208" xr:uid="{00000000-0005-0000-0000-00007D040000}"/>
    <cellStyle name="Entrada 2" xfId="209" xr:uid="{00000000-0005-0000-0000-00007E040000}"/>
    <cellStyle name="Entrada 2 2" xfId="3093" xr:uid="{00000000-0005-0000-0000-00007F040000}"/>
    <cellStyle name="Error 10" xfId="5759" xr:uid="{00000000-0005-0000-0000-000080040000}"/>
    <cellStyle name="Error 9" xfId="5760" xr:uid="{00000000-0005-0000-0000-000081040000}"/>
    <cellStyle name="Estilo 1" xfId="265" xr:uid="{00000000-0005-0000-0000-000082040000}"/>
    <cellStyle name="Estilo 2" xfId="266" xr:uid="{00000000-0005-0000-0000-000083040000}"/>
    <cellStyle name="Estilo 3" xfId="267" xr:uid="{00000000-0005-0000-0000-000084040000}"/>
    <cellStyle name="Euro" xfId="35" xr:uid="{00000000-0005-0000-0000-000085040000}"/>
    <cellStyle name="Euro 2" xfId="66" xr:uid="{00000000-0005-0000-0000-000086040000}"/>
    <cellStyle name="Euro 2 2" xfId="210" xr:uid="{00000000-0005-0000-0000-000087040000}"/>
    <cellStyle name="Euro 3" xfId="119" xr:uid="{00000000-0005-0000-0000-000088040000}"/>
    <cellStyle name="Excel Built-in Comma 11" xfId="5761" xr:uid="{00000000-0005-0000-0000-000089040000}"/>
    <cellStyle name="Excel Built-in Percent 12" xfId="5762" xr:uid="{00000000-0005-0000-0000-00008A040000}"/>
    <cellStyle name="Explanatory Text" xfId="36" xr:uid="{00000000-0005-0000-0000-00008B040000}"/>
    <cellStyle name="F2" xfId="211" xr:uid="{00000000-0005-0000-0000-00008C040000}"/>
    <cellStyle name="F3" xfId="212" xr:uid="{00000000-0005-0000-0000-00008D040000}"/>
    <cellStyle name="F4" xfId="213" xr:uid="{00000000-0005-0000-0000-00008E040000}"/>
    <cellStyle name="F5" xfId="214" xr:uid="{00000000-0005-0000-0000-00008F040000}"/>
    <cellStyle name="F6" xfId="215" xr:uid="{00000000-0005-0000-0000-000090040000}"/>
    <cellStyle name="F7" xfId="216" xr:uid="{00000000-0005-0000-0000-000091040000}"/>
    <cellStyle name="F8" xfId="217" xr:uid="{00000000-0005-0000-0000-000092040000}"/>
    <cellStyle name="Fixo" xfId="218" xr:uid="{00000000-0005-0000-0000-000093040000}"/>
    <cellStyle name="Footnote 10" xfId="5763" xr:uid="{00000000-0005-0000-0000-000094040000}"/>
    <cellStyle name="Footnote 13" xfId="5764" xr:uid="{00000000-0005-0000-0000-000095040000}"/>
    <cellStyle name="Good" xfId="37" xr:uid="{00000000-0005-0000-0000-000096040000}"/>
    <cellStyle name="Good 11" xfId="5765" xr:uid="{00000000-0005-0000-0000-000097040000}"/>
    <cellStyle name="Good 14" xfId="5766" xr:uid="{00000000-0005-0000-0000-000098040000}"/>
    <cellStyle name="Heading 1" xfId="38" xr:uid="{00000000-0005-0000-0000-000099040000}"/>
    <cellStyle name="Heading 1 13" xfId="5767" xr:uid="{00000000-0005-0000-0000-00009A040000}"/>
    <cellStyle name="Heading 1 15" xfId="5768" xr:uid="{00000000-0005-0000-0000-00009B040000}"/>
    <cellStyle name="Heading 12" xfId="5769" xr:uid="{00000000-0005-0000-0000-00009C040000}"/>
    <cellStyle name="Heading 2" xfId="39" xr:uid="{00000000-0005-0000-0000-00009D040000}"/>
    <cellStyle name="Heading 2 14" xfId="5770" xr:uid="{00000000-0005-0000-0000-00009E040000}"/>
    <cellStyle name="Heading 2 16" xfId="5771" xr:uid="{00000000-0005-0000-0000-00009F040000}"/>
    <cellStyle name="Heading 3" xfId="40" xr:uid="{00000000-0005-0000-0000-0000A0040000}"/>
    <cellStyle name="Heading 4" xfId="41" xr:uid="{00000000-0005-0000-0000-0000A1040000}"/>
    <cellStyle name="Hiperlink 2" xfId="5772" xr:uid="{00000000-0005-0000-0000-0000A2040000}"/>
    <cellStyle name="Hiperlink 2 2" xfId="5773" xr:uid="{00000000-0005-0000-0000-0000A3040000}"/>
    <cellStyle name="Hiperlink 3" xfId="5774" xr:uid="{00000000-0005-0000-0000-0000A4040000}"/>
    <cellStyle name="Hipervínculo_5a. MEDIÇÃO Maio 2007" xfId="219" xr:uid="{00000000-0005-0000-0000-0000A5040000}"/>
    <cellStyle name="Hyperlink 15" xfId="5775" xr:uid="{00000000-0005-0000-0000-0000A6040000}"/>
    <cellStyle name="Hyperlink 17" xfId="5776" xr:uid="{00000000-0005-0000-0000-0000A7040000}"/>
    <cellStyle name="Hyperlink 2" xfId="5777" xr:uid="{00000000-0005-0000-0000-0000A8040000}"/>
    <cellStyle name="Hyperlink 3" xfId="5778" xr:uid="{00000000-0005-0000-0000-0000A9040000}"/>
    <cellStyle name="Incorreto 2" xfId="220" xr:uid="{00000000-0005-0000-0000-0000AA040000}"/>
    <cellStyle name="Indefinido" xfId="221" xr:uid="{00000000-0005-0000-0000-0000AB040000}"/>
    <cellStyle name="Input" xfId="42" xr:uid="{00000000-0005-0000-0000-0000AC040000}"/>
    <cellStyle name="Input 2" xfId="3058" xr:uid="{00000000-0005-0000-0000-0000AD040000}"/>
    <cellStyle name="Linked Cell" xfId="43" xr:uid="{00000000-0005-0000-0000-0000AE040000}"/>
    <cellStyle name="Moeda 2" xfId="44" xr:uid="{00000000-0005-0000-0000-0000AF040000}"/>
    <cellStyle name="Moeda 2 10" xfId="121" xr:uid="{00000000-0005-0000-0000-0000B0040000}"/>
    <cellStyle name="Moeda 2 11" xfId="122" xr:uid="{00000000-0005-0000-0000-0000B1040000}"/>
    <cellStyle name="Moeda 2 12" xfId="123" xr:uid="{00000000-0005-0000-0000-0000B2040000}"/>
    <cellStyle name="Moeda 2 13" xfId="124" xr:uid="{00000000-0005-0000-0000-0000B3040000}"/>
    <cellStyle name="Moeda 2 14" xfId="125" xr:uid="{00000000-0005-0000-0000-0000B4040000}"/>
    <cellStyle name="Moeda 2 15" xfId="126" xr:uid="{00000000-0005-0000-0000-0000B5040000}"/>
    <cellStyle name="Moeda 2 16" xfId="127" xr:uid="{00000000-0005-0000-0000-0000B6040000}"/>
    <cellStyle name="Moeda 2 17" xfId="128" xr:uid="{00000000-0005-0000-0000-0000B7040000}"/>
    <cellStyle name="Moeda 2 18" xfId="129" xr:uid="{00000000-0005-0000-0000-0000B8040000}"/>
    <cellStyle name="Moeda 2 19" xfId="130" xr:uid="{00000000-0005-0000-0000-0000B9040000}"/>
    <cellStyle name="Moeda 2 2" xfId="109" xr:uid="{00000000-0005-0000-0000-0000BA040000}"/>
    <cellStyle name="Moeda 2 2 2" xfId="131" xr:uid="{00000000-0005-0000-0000-0000BB040000}"/>
    <cellStyle name="Moeda 2 20" xfId="132" xr:uid="{00000000-0005-0000-0000-0000BC040000}"/>
    <cellStyle name="Moeda 2 21" xfId="133" xr:uid="{00000000-0005-0000-0000-0000BD040000}"/>
    <cellStyle name="Moeda 2 22" xfId="436" xr:uid="{00000000-0005-0000-0000-0000BE040000}"/>
    <cellStyle name="Moeda 2 23" xfId="120" xr:uid="{00000000-0005-0000-0000-0000BF040000}"/>
    <cellStyle name="Moeda 2 24" xfId="5779" xr:uid="{00000000-0005-0000-0000-0000C0040000}"/>
    <cellStyle name="Moeda 2 3" xfId="134" xr:uid="{00000000-0005-0000-0000-0000C1040000}"/>
    <cellStyle name="Moeda 2 3 2" xfId="3051" xr:uid="{00000000-0005-0000-0000-0000C2040000}"/>
    <cellStyle name="Moeda 2 3 2 2" xfId="5736" xr:uid="{00000000-0005-0000-0000-0000C3040000}"/>
    <cellStyle name="Moeda 2 3 2 3" xfId="5874" xr:uid="{00000000-0005-0000-0000-0000C4040000}"/>
    <cellStyle name="Moeda 2 3 2 4" xfId="5886" xr:uid="{7A75BF10-1AA5-404D-A8B0-71D75B1D56B5}"/>
    <cellStyle name="Moeda 2 4" xfId="135" xr:uid="{00000000-0005-0000-0000-0000C5040000}"/>
    <cellStyle name="Moeda 2 5" xfId="136" xr:uid="{00000000-0005-0000-0000-0000C6040000}"/>
    <cellStyle name="Moeda 2 6" xfId="137" xr:uid="{00000000-0005-0000-0000-0000C7040000}"/>
    <cellStyle name="Moeda 2 7" xfId="138" xr:uid="{00000000-0005-0000-0000-0000C8040000}"/>
    <cellStyle name="Moeda 2 8" xfId="139" xr:uid="{00000000-0005-0000-0000-0000C9040000}"/>
    <cellStyle name="Moeda 2 9" xfId="140" xr:uid="{00000000-0005-0000-0000-0000CA040000}"/>
    <cellStyle name="Moeda 3" xfId="86" xr:uid="{00000000-0005-0000-0000-0000CB040000}"/>
    <cellStyle name="Moeda 3 2" xfId="141" xr:uid="{00000000-0005-0000-0000-0000CC040000}"/>
    <cellStyle name="Moeda 3 3" xfId="1981" xr:uid="{00000000-0005-0000-0000-0000CD040000}"/>
    <cellStyle name="Moeda 3 3 2" xfId="4677" xr:uid="{00000000-0005-0000-0000-0000CE040000}"/>
    <cellStyle name="Moeda 3 4" xfId="3073" xr:uid="{00000000-0005-0000-0000-0000CF040000}"/>
    <cellStyle name="Moeda 3 5" xfId="5780" xr:uid="{00000000-0005-0000-0000-0000D0040000}"/>
    <cellStyle name="Moeda 4" xfId="108" xr:uid="{00000000-0005-0000-0000-0000D1040000}"/>
    <cellStyle name="Moeda 4 2" xfId="159" xr:uid="{00000000-0005-0000-0000-0000D2040000}"/>
    <cellStyle name="Moeda 4 3" xfId="5781" xr:uid="{00000000-0005-0000-0000-0000D3040000}"/>
    <cellStyle name="Moeda 5" xfId="110" xr:uid="{00000000-0005-0000-0000-0000D4040000}"/>
    <cellStyle name="Moeda 5 2" xfId="264" xr:uid="{00000000-0005-0000-0000-0000D5040000}"/>
    <cellStyle name="Moeda 5 2 12" xfId="3033" xr:uid="{00000000-0005-0000-0000-0000D6040000}"/>
    <cellStyle name="Moeda 5 2 12 2" xfId="5728" xr:uid="{00000000-0005-0000-0000-0000D7040000}"/>
    <cellStyle name="Moeda 5 2 2" xfId="2004" xr:uid="{00000000-0005-0000-0000-0000D8040000}"/>
    <cellStyle name="Moeda 5 2 2 2" xfId="4700" xr:uid="{00000000-0005-0000-0000-0000D9040000}"/>
    <cellStyle name="Moeda 5 2 3" xfId="3103" xr:uid="{00000000-0005-0000-0000-0000DA040000}"/>
    <cellStyle name="Moeda 6" xfId="432" xr:uid="{00000000-0005-0000-0000-0000DB040000}"/>
    <cellStyle name="Moeda 6 2" xfId="2039" xr:uid="{00000000-0005-0000-0000-0000DC040000}"/>
    <cellStyle name="Moeda 6 2 2" xfId="4735" xr:uid="{00000000-0005-0000-0000-0000DD040000}"/>
    <cellStyle name="Moeda 6 3" xfId="3138" xr:uid="{00000000-0005-0000-0000-0000DE040000}"/>
    <cellStyle name="Moeda 7" xfId="1199" xr:uid="{00000000-0005-0000-0000-0000DF040000}"/>
    <cellStyle name="Moeda 8" xfId="142" xr:uid="{00000000-0005-0000-0000-0000E0040000}"/>
    <cellStyle name="Moeda0" xfId="222" xr:uid="{00000000-0005-0000-0000-0000E1040000}"/>
    <cellStyle name="mpenho" xfId="223" xr:uid="{00000000-0005-0000-0000-0000E2040000}"/>
    <cellStyle name="Neutra 2" xfId="224" xr:uid="{00000000-0005-0000-0000-0000E3040000}"/>
    <cellStyle name="Neutral" xfId="45" xr:uid="{00000000-0005-0000-0000-0000E4040000}"/>
    <cellStyle name="Neutral 16" xfId="5782" xr:uid="{00000000-0005-0000-0000-0000E5040000}"/>
    <cellStyle name="Neutral 18" xfId="5783" xr:uid="{00000000-0005-0000-0000-0000E6040000}"/>
    <cellStyle name="Normal" xfId="0" builtinId="0"/>
    <cellStyle name="Normal 10" xfId="160" xr:uid="{00000000-0005-0000-0000-0000E8040000}"/>
    <cellStyle name="Normal 10 2" xfId="439" xr:uid="{00000000-0005-0000-0000-0000E9040000}"/>
    <cellStyle name="Normal 10 3" xfId="5784" xr:uid="{00000000-0005-0000-0000-0000EA040000}"/>
    <cellStyle name="Normal 10 3 4" xfId="495" xr:uid="{00000000-0005-0000-0000-0000EB040000}"/>
    <cellStyle name="Normal 101" xfId="3052" xr:uid="{00000000-0005-0000-0000-0000EC040000}"/>
    <cellStyle name="Normal 11" xfId="225" xr:uid="{00000000-0005-0000-0000-0000ED040000}"/>
    <cellStyle name="Normal 11 2" xfId="268" xr:uid="{00000000-0005-0000-0000-0000EE040000}"/>
    <cellStyle name="Normal 11 2 2" xfId="269" xr:uid="{00000000-0005-0000-0000-0000EF040000}"/>
    <cellStyle name="Normal 11 2 3" xfId="270" xr:uid="{00000000-0005-0000-0000-0000F0040000}"/>
    <cellStyle name="Normal 11 2 4" xfId="271" xr:uid="{00000000-0005-0000-0000-0000F1040000}"/>
    <cellStyle name="Normal 11 2 5" xfId="272" xr:uid="{00000000-0005-0000-0000-0000F2040000}"/>
    <cellStyle name="Normal 11 3" xfId="273" xr:uid="{00000000-0005-0000-0000-0000F3040000}"/>
    <cellStyle name="Normal 11 3 2" xfId="274" xr:uid="{00000000-0005-0000-0000-0000F4040000}"/>
    <cellStyle name="Normal 11 4" xfId="5785" xr:uid="{00000000-0005-0000-0000-0000F5040000}"/>
    <cellStyle name="Normal 12" xfId="263" xr:uid="{00000000-0005-0000-0000-0000F6040000}"/>
    <cellStyle name="Normal 12 2" xfId="275" xr:uid="{00000000-0005-0000-0000-0000F7040000}"/>
    <cellStyle name="Normal 12 3" xfId="433" xr:uid="{00000000-0005-0000-0000-0000F8040000}"/>
    <cellStyle name="Normal 12 4" xfId="5786" xr:uid="{00000000-0005-0000-0000-0000F9040000}"/>
    <cellStyle name="Normal 13" xfId="276" xr:uid="{00000000-0005-0000-0000-0000FA040000}"/>
    <cellStyle name="Normal 13 2" xfId="5787" xr:uid="{00000000-0005-0000-0000-0000FB040000}"/>
    <cellStyle name="Normal 14" xfId="277" xr:uid="{00000000-0005-0000-0000-0000FC040000}"/>
    <cellStyle name="Normal 14 2" xfId="5788" xr:uid="{00000000-0005-0000-0000-0000FD040000}"/>
    <cellStyle name="Normal 15" xfId="278" xr:uid="{00000000-0005-0000-0000-0000FE040000}"/>
    <cellStyle name="Normal 15 2" xfId="5789" xr:uid="{00000000-0005-0000-0000-0000FF040000}"/>
    <cellStyle name="Normal 16" xfId="279" xr:uid="{00000000-0005-0000-0000-000000050000}"/>
    <cellStyle name="Normal 16 2" xfId="3042" xr:uid="{00000000-0005-0000-0000-000001050000}"/>
    <cellStyle name="Normal 16 2 2" xfId="5875" xr:uid="{00000000-0005-0000-0000-000002050000}"/>
    <cellStyle name="Normal 16 3" xfId="5790" xr:uid="{00000000-0005-0000-0000-000003050000}"/>
    <cellStyle name="Normal 17" xfId="280" xr:uid="{00000000-0005-0000-0000-000004050000}"/>
    <cellStyle name="Normal 17 2" xfId="5791" xr:uid="{00000000-0005-0000-0000-000005050000}"/>
    <cellStyle name="Normal 18" xfId="281" xr:uid="{00000000-0005-0000-0000-000006050000}"/>
    <cellStyle name="Normal 18 2" xfId="5860" xr:uid="{00000000-0005-0000-0000-000007050000}"/>
    <cellStyle name="Normal 18 3" xfId="5859" xr:uid="{00000000-0005-0000-0000-000008050000}"/>
    <cellStyle name="Normal 19" xfId="282" xr:uid="{00000000-0005-0000-0000-000009050000}"/>
    <cellStyle name="Normal 2" xfId="46" xr:uid="{00000000-0005-0000-0000-00000A050000}"/>
    <cellStyle name="Normal 2 10" xfId="283" xr:uid="{00000000-0005-0000-0000-00000B050000}"/>
    <cellStyle name="Normal 2 10 2" xfId="5876" xr:uid="{00000000-0005-0000-0000-00000C050000}"/>
    <cellStyle name="Normal 2 11" xfId="284" xr:uid="{00000000-0005-0000-0000-00000D050000}"/>
    <cellStyle name="Normal 2 12" xfId="285" xr:uid="{00000000-0005-0000-0000-00000E050000}"/>
    <cellStyle name="Normal 2 13" xfId="286" xr:uid="{00000000-0005-0000-0000-00000F050000}"/>
    <cellStyle name="Normal 2 14" xfId="287" xr:uid="{00000000-0005-0000-0000-000010050000}"/>
    <cellStyle name="Normal 2 14 2" xfId="3044" xr:uid="{00000000-0005-0000-0000-000011050000}"/>
    <cellStyle name="Normal 2 14 2 2" xfId="5877" xr:uid="{00000000-0005-0000-0000-000012050000}"/>
    <cellStyle name="Normal 2 15" xfId="288" xr:uid="{00000000-0005-0000-0000-000013050000}"/>
    <cellStyle name="Normal 2 16" xfId="289" xr:uid="{00000000-0005-0000-0000-000014050000}"/>
    <cellStyle name="Normal 2 17" xfId="290" xr:uid="{00000000-0005-0000-0000-000015050000}"/>
    <cellStyle name="Normal 2 18" xfId="291" xr:uid="{00000000-0005-0000-0000-000016050000}"/>
    <cellStyle name="Normal 2 19" xfId="292" xr:uid="{00000000-0005-0000-0000-000017050000}"/>
    <cellStyle name="Normal 2 2" xfId="111" xr:uid="{00000000-0005-0000-0000-000018050000}"/>
    <cellStyle name="Normal 2 2 2" xfId="83" xr:uid="{00000000-0005-0000-0000-000019050000}"/>
    <cellStyle name="Normal 2 2 2 2" xfId="5792" xr:uid="{00000000-0005-0000-0000-00001A050000}"/>
    <cellStyle name="Normal 2 2 3" xfId="226" xr:uid="{00000000-0005-0000-0000-00001B050000}"/>
    <cellStyle name="Normal 2 2 3 2" xfId="5793" xr:uid="{00000000-0005-0000-0000-00001C050000}"/>
    <cellStyle name="Normal 2 2 4" xfId="143" xr:uid="{00000000-0005-0000-0000-00001D050000}"/>
    <cellStyle name="Normal 2 2 4 2" xfId="144" xr:uid="{00000000-0005-0000-0000-00001E050000}"/>
    <cellStyle name="Normal 2 2 4 2 2" xfId="161" xr:uid="{00000000-0005-0000-0000-00001F050000}"/>
    <cellStyle name="Normal 2 2 4 2 3" xfId="162" xr:uid="{00000000-0005-0000-0000-000020050000}"/>
    <cellStyle name="Normal 2 2 5" xfId="293" xr:uid="{00000000-0005-0000-0000-000021050000}"/>
    <cellStyle name="Normal 2 20" xfId="294" xr:uid="{00000000-0005-0000-0000-000022050000}"/>
    <cellStyle name="Normal 2 21" xfId="295" xr:uid="{00000000-0005-0000-0000-000023050000}"/>
    <cellStyle name="Normal 2 22" xfId="296" xr:uid="{00000000-0005-0000-0000-000024050000}"/>
    <cellStyle name="Normal 2 23" xfId="297" xr:uid="{00000000-0005-0000-0000-000025050000}"/>
    <cellStyle name="Normal 2 24" xfId="298" xr:uid="{00000000-0005-0000-0000-000026050000}"/>
    <cellStyle name="Normal 2 25" xfId="299" xr:uid="{00000000-0005-0000-0000-000027050000}"/>
    <cellStyle name="Normal 2 26" xfId="300" xr:uid="{00000000-0005-0000-0000-000028050000}"/>
    <cellStyle name="Normal 2 27" xfId="301" xr:uid="{00000000-0005-0000-0000-000029050000}"/>
    <cellStyle name="Normal 2 28" xfId="302" xr:uid="{00000000-0005-0000-0000-00002A050000}"/>
    <cellStyle name="Normal 2 29" xfId="303" xr:uid="{00000000-0005-0000-0000-00002B050000}"/>
    <cellStyle name="Normal 2 3" xfId="227" xr:uid="{00000000-0005-0000-0000-00002C050000}"/>
    <cellStyle name="Normal 2 3 2" xfId="304" xr:uid="{00000000-0005-0000-0000-00002D050000}"/>
    <cellStyle name="Normal 2 3 2 2" xfId="5796" xr:uid="{00000000-0005-0000-0000-00002E050000}"/>
    <cellStyle name="Normal 2 3 2 3" xfId="5795" xr:uid="{00000000-0005-0000-0000-00002F050000}"/>
    <cellStyle name="Normal 2 3 3" xfId="5797" xr:uid="{00000000-0005-0000-0000-000030050000}"/>
    <cellStyle name="Normal 2 3 3 2" xfId="5798" xr:uid="{00000000-0005-0000-0000-000031050000}"/>
    <cellStyle name="Normal 2 3 3 3" xfId="5872" xr:uid="{00000000-0005-0000-0000-000032050000}"/>
    <cellStyle name="Normal 2 3 4" xfId="5799" xr:uid="{00000000-0005-0000-0000-000033050000}"/>
    <cellStyle name="Normal 2 3 5" xfId="5800" xr:uid="{00000000-0005-0000-0000-000034050000}"/>
    <cellStyle name="Normal 2 3 5 2" xfId="5801" xr:uid="{00000000-0005-0000-0000-000035050000}"/>
    <cellStyle name="Normal 2 3 6" xfId="5794" xr:uid="{00000000-0005-0000-0000-000036050000}"/>
    <cellStyle name="Normal 2 30" xfId="305" xr:uid="{00000000-0005-0000-0000-000037050000}"/>
    <cellStyle name="Normal 2 31" xfId="306" xr:uid="{00000000-0005-0000-0000-000038050000}"/>
    <cellStyle name="Normal 2 32" xfId="307" xr:uid="{00000000-0005-0000-0000-000039050000}"/>
    <cellStyle name="Normal 2 4" xfId="228" xr:uid="{00000000-0005-0000-0000-00003A050000}"/>
    <cellStyle name="Normal 2 4 2" xfId="5802" xr:uid="{00000000-0005-0000-0000-00003B050000}"/>
    <cellStyle name="Normal 2 5" xfId="229" xr:uid="{00000000-0005-0000-0000-00003C050000}"/>
    <cellStyle name="Normal 2 5 2" xfId="5803" xr:uid="{00000000-0005-0000-0000-00003D050000}"/>
    <cellStyle name="Normal 2 6" xfId="308" xr:uid="{00000000-0005-0000-0000-00003E050000}"/>
    <cellStyle name="Normal 2 7" xfId="309" xr:uid="{00000000-0005-0000-0000-00003F050000}"/>
    <cellStyle name="Normal 2 8" xfId="310" xr:uid="{00000000-0005-0000-0000-000040050000}"/>
    <cellStyle name="Normal 2 9" xfId="311" xr:uid="{00000000-0005-0000-0000-000041050000}"/>
    <cellStyle name="Normal 2_Dados" xfId="312" xr:uid="{00000000-0005-0000-0000-000042050000}"/>
    <cellStyle name="Normal 20" xfId="313" xr:uid="{00000000-0005-0000-0000-000043050000}"/>
    <cellStyle name="Normal 21" xfId="314" xr:uid="{00000000-0005-0000-0000-000044050000}"/>
    <cellStyle name="Normal 21 2" xfId="5737" xr:uid="{00000000-0005-0000-0000-000045050000}"/>
    <cellStyle name="Normal 22" xfId="315" xr:uid="{00000000-0005-0000-0000-000046050000}"/>
    <cellStyle name="Normal 23" xfId="316" xr:uid="{00000000-0005-0000-0000-000047050000}"/>
    <cellStyle name="Normal 24" xfId="317" xr:uid="{00000000-0005-0000-0000-000048050000}"/>
    <cellStyle name="Normal 25" xfId="435" xr:uid="{00000000-0005-0000-0000-000049050000}"/>
    <cellStyle name="Normal 26" xfId="163" xr:uid="{00000000-0005-0000-0000-00004A050000}"/>
    <cellStyle name="Normal 27" xfId="318" xr:uid="{00000000-0005-0000-0000-00004B050000}"/>
    <cellStyle name="Normal 28" xfId="319" xr:uid="{00000000-0005-0000-0000-00004C050000}"/>
    <cellStyle name="Normal 29" xfId="320" xr:uid="{00000000-0005-0000-0000-00004D050000}"/>
    <cellStyle name="Normal 3" xfId="5" xr:uid="{00000000-0005-0000-0000-00004E050000}"/>
    <cellStyle name="Normal 3 10" xfId="3041" xr:uid="{00000000-0005-0000-0000-00004F050000}"/>
    <cellStyle name="Normal 3 10 2" xfId="5878" xr:uid="{00000000-0005-0000-0000-000050050000}"/>
    <cellStyle name="Normal 3 2" xfId="64" xr:uid="{00000000-0005-0000-0000-000051050000}"/>
    <cellStyle name="Normal 3 2 2" xfId="321" xr:uid="{00000000-0005-0000-0000-000052050000}"/>
    <cellStyle name="Normal 3 2 2 2" xfId="5805" xr:uid="{00000000-0005-0000-0000-000053050000}"/>
    <cellStyle name="Normal 3 2 3" xfId="5806" xr:uid="{00000000-0005-0000-0000-000054050000}"/>
    <cellStyle name="Normal 3 2 4" xfId="5807" xr:uid="{00000000-0005-0000-0000-000055050000}"/>
    <cellStyle name="Normal 3 2 5" xfId="5808" xr:uid="{00000000-0005-0000-0000-000056050000}"/>
    <cellStyle name="Normal 3 2 6" xfId="5804" xr:uid="{00000000-0005-0000-0000-000057050000}"/>
    <cellStyle name="Normal 3 3" xfId="230" xr:uid="{00000000-0005-0000-0000-000058050000}"/>
    <cellStyle name="Normal 3 3 2" xfId="322" xr:uid="{00000000-0005-0000-0000-000059050000}"/>
    <cellStyle name="Normal 3 3 3" xfId="5809" xr:uid="{00000000-0005-0000-0000-00005A050000}"/>
    <cellStyle name="Normal 3 4" xfId="323" xr:uid="{00000000-0005-0000-0000-00005B050000}"/>
    <cellStyle name="Normal 3 5" xfId="324" xr:uid="{00000000-0005-0000-0000-00005C050000}"/>
    <cellStyle name="Normal 3 6" xfId="325" xr:uid="{00000000-0005-0000-0000-00005D050000}"/>
    <cellStyle name="Normal 3 7" xfId="326" xr:uid="{00000000-0005-0000-0000-00005E050000}"/>
    <cellStyle name="Normal 3 8" xfId="145" xr:uid="{00000000-0005-0000-0000-00005F050000}"/>
    <cellStyle name="Normal 3_14ª MED. TY" xfId="327" xr:uid="{00000000-0005-0000-0000-000060050000}"/>
    <cellStyle name="Normal 30" xfId="5738" xr:uid="{00000000-0005-0000-0000-000061050000}"/>
    <cellStyle name="Normal 31" xfId="328" xr:uid="{00000000-0005-0000-0000-000062050000}"/>
    <cellStyle name="Normal 32" xfId="5741" xr:uid="{00000000-0005-0000-0000-000063050000}"/>
    <cellStyle name="Normal 33" xfId="5836" xr:uid="{00000000-0005-0000-0000-000064050000}"/>
    <cellStyle name="Normal 34" xfId="5870" xr:uid="{00000000-0005-0000-0000-000065050000}"/>
    <cellStyle name="Normal 35" xfId="5810" xr:uid="{00000000-0005-0000-0000-000066050000}"/>
    <cellStyle name="Normal 38" xfId="164" xr:uid="{00000000-0005-0000-0000-000067050000}"/>
    <cellStyle name="Normal 4" xfId="58" xr:uid="{00000000-0005-0000-0000-000068050000}"/>
    <cellStyle name="Normal 4 2" xfId="61" xr:uid="{00000000-0005-0000-0000-000069050000}"/>
    <cellStyle name="Normal 4 2 10 2" xfId="3032" xr:uid="{00000000-0005-0000-0000-00006A050000}"/>
    <cellStyle name="Normal 4 2 10 2 2" xfId="5879" xr:uid="{00000000-0005-0000-0000-00006B050000}"/>
    <cellStyle name="Normal 4 2 2" xfId="76" xr:uid="{00000000-0005-0000-0000-00006C050000}"/>
    <cellStyle name="Normal 4 2 2 2" xfId="87" xr:uid="{00000000-0005-0000-0000-00006D050000}"/>
    <cellStyle name="Normal 4 2 2 3" xfId="5812" xr:uid="{00000000-0005-0000-0000-00006E050000}"/>
    <cellStyle name="Normal 4 2 3" xfId="165" xr:uid="{00000000-0005-0000-0000-00006F050000}"/>
    <cellStyle name="Normal 4 2 4" xfId="5811" xr:uid="{00000000-0005-0000-0000-000070050000}"/>
    <cellStyle name="Normal 4 3" xfId="77" xr:uid="{00000000-0005-0000-0000-000071050000}"/>
    <cellStyle name="Normal 4 3 2" xfId="78" xr:uid="{00000000-0005-0000-0000-000072050000}"/>
    <cellStyle name="Normal 4 3 2 2" xfId="5856" xr:uid="{00000000-0005-0000-0000-000073050000}"/>
    <cellStyle name="Normal 4 3 3" xfId="88" xr:uid="{00000000-0005-0000-0000-000074050000}"/>
    <cellStyle name="Normal 4 3 3 2 2" xfId="99" xr:uid="{00000000-0005-0000-0000-000075050000}"/>
    <cellStyle name="Normal 4 3 3 4 3" xfId="101" xr:uid="{00000000-0005-0000-0000-000076050000}"/>
    <cellStyle name="Normal 4 3 4" xfId="79" xr:uid="{00000000-0005-0000-0000-000077050000}"/>
    <cellStyle name="Normal 4 3 4 2" xfId="89" xr:uid="{00000000-0005-0000-0000-000078050000}"/>
    <cellStyle name="Normal 4 3 4 2 2" xfId="90" xr:uid="{00000000-0005-0000-0000-000079050000}"/>
    <cellStyle name="Normal 4 3 4 2 3" xfId="85" xr:uid="{00000000-0005-0000-0000-00007A050000}"/>
    <cellStyle name="Normal 4 3 4 2 3 2 2" xfId="104" xr:uid="{00000000-0005-0000-0000-00007B050000}"/>
    <cellStyle name="Normal 4 3 4 3" xfId="91" xr:uid="{00000000-0005-0000-0000-00007C050000}"/>
    <cellStyle name="Normal 4 3 4 3 2" xfId="84" xr:uid="{00000000-0005-0000-0000-00007D050000}"/>
    <cellStyle name="Normal 4 3 5" xfId="5813" xr:uid="{00000000-0005-0000-0000-00007E050000}"/>
    <cellStyle name="Normal 4 4" xfId="80" xr:uid="{00000000-0005-0000-0000-00007F050000}"/>
    <cellStyle name="Normal 5" xfId="75" xr:uid="{00000000-0005-0000-0000-000080050000}"/>
    <cellStyle name="Normal 5 2" xfId="92" xr:uid="{00000000-0005-0000-0000-000081050000}"/>
    <cellStyle name="Normal 5 2 2" xfId="166" xr:uid="{00000000-0005-0000-0000-000082050000}"/>
    <cellStyle name="Normal 5 2 3" xfId="5815" xr:uid="{00000000-0005-0000-0000-000083050000}"/>
    <cellStyle name="Normal 5 2 4 3" xfId="102" xr:uid="{00000000-0005-0000-0000-000084050000}"/>
    <cellStyle name="Normal 5 3" xfId="81" xr:uid="{00000000-0005-0000-0000-000085050000}"/>
    <cellStyle name="Normal 5 4" xfId="146" xr:uid="{00000000-0005-0000-0000-000086050000}"/>
    <cellStyle name="Normal 5 5" xfId="5814" xr:uid="{00000000-0005-0000-0000-000087050000}"/>
    <cellStyle name="Normal 57" xfId="3040" xr:uid="{00000000-0005-0000-0000-000088050000}"/>
    <cellStyle name="Normal 58 2" xfId="5816" xr:uid="{00000000-0005-0000-0000-000089050000}"/>
    <cellStyle name="Normal 58 2 2" xfId="5817" xr:uid="{00000000-0005-0000-0000-00008A050000}"/>
    <cellStyle name="Normal 6" xfId="93" xr:uid="{00000000-0005-0000-0000-00008B050000}"/>
    <cellStyle name="Normal 6 2" xfId="231" xr:uid="{00000000-0005-0000-0000-00008C050000}"/>
    <cellStyle name="Normal 6 2 2" xfId="5857" xr:uid="{00000000-0005-0000-0000-00008D050000}"/>
    <cellStyle name="Normal 6 3" xfId="329" xr:uid="{00000000-0005-0000-0000-00008E050000}"/>
    <cellStyle name="Normal 6 4" xfId="330" xr:uid="{00000000-0005-0000-0000-00008F050000}"/>
    <cellStyle name="Normal 6 5" xfId="434" xr:uid="{00000000-0005-0000-0000-000090050000}"/>
    <cellStyle name="Normal 6 6" xfId="562" xr:uid="{00000000-0005-0000-0000-000091050000}"/>
    <cellStyle name="Normal 6 7" xfId="117" xr:uid="{00000000-0005-0000-0000-000092050000}"/>
    <cellStyle name="Normal 6 8" xfId="5818" xr:uid="{00000000-0005-0000-0000-000093050000}"/>
    <cellStyle name="Normal 61" xfId="5819" xr:uid="{00000000-0005-0000-0000-000094050000}"/>
    <cellStyle name="Normal 68" xfId="3043" xr:uid="{00000000-0005-0000-0000-000095050000}"/>
    <cellStyle name="Normal 68 2" xfId="5880" xr:uid="{00000000-0005-0000-0000-000096050000}"/>
    <cellStyle name="Normal 69" xfId="3045" xr:uid="{00000000-0005-0000-0000-000097050000}"/>
    <cellStyle name="Normal 69 2" xfId="5881" xr:uid="{00000000-0005-0000-0000-000098050000}"/>
    <cellStyle name="Normal 7" xfId="94" xr:uid="{00000000-0005-0000-0000-000099050000}"/>
    <cellStyle name="Normal 7 2" xfId="331" xr:uid="{00000000-0005-0000-0000-00009A050000}"/>
    <cellStyle name="Normal 7 3" xfId="332" xr:uid="{00000000-0005-0000-0000-00009B050000}"/>
    <cellStyle name="Normal 7 4" xfId="333" xr:uid="{00000000-0005-0000-0000-00009C050000}"/>
    <cellStyle name="Normal 7 5" xfId="147" xr:uid="{00000000-0005-0000-0000-00009D050000}"/>
    <cellStyle name="Normal 7 6" xfId="5820" xr:uid="{00000000-0005-0000-0000-00009E050000}"/>
    <cellStyle name="Normal 71" xfId="3047" xr:uid="{00000000-0005-0000-0000-00009F050000}"/>
    <cellStyle name="Normal 75" xfId="3048" xr:uid="{00000000-0005-0000-0000-0000A0050000}"/>
    <cellStyle name="Normal 76" xfId="3049" xr:uid="{00000000-0005-0000-0000-0000A1050000}"/>
    <cellStyle name="Normal 8" xfId="105" xr:uid="{00000000-0005-0000-0000-0000A2050000}"/>
    <cellStyle name="Normal 8 2" xfId="431" xr:uid="{00000000-0005-0000-0000-0000A3050000}"/>
    <cellStyle name="Normal 8 3" xfId="167" xr:uid="{00000000-0005-0000-0000-0000A4050000}"/>
    <cellStyle name="Normal 8 4" xfId="5821" xr:uid="{00000000-0005-0000-0000-0000A5050000}"/>
    <cellStyle name="Normal 9" xfId="2" xr:uid="{00000000-0005-0000-0000-0000A6050000}"/>
    <cellStyle name="Normal 9 2" xfId="334" xr:uid="{00000000-0005-0000-0000-0000A7050000}"/>
    <cellStyle name="Normal 9 2 2" xfId="5822" xr:uid="{00000000-0005-0000-0000-0000A8050000}"/>
    <cellStyle name="Normal 9 3" xfId="168" xr:uid="{00000000-0005-0000-0000-0000A9050000}"/>
    <cellStyle name="Normal_PLANILHA e RESUMO ORIGINAL (MEDIÇÃO)" xfId="430" xr:uid="{00000000-0005-0000-0000-0000AA050000}"/>
    <cellStyle name="Nota 2" xfId="232" xr:uid="{00000000-0005-0000-0000-0000AB050000}"/>
    <cellStyle name="Nota 2 2" xfId="3094" xr:uid="{00000000-0005-0000-0000-0000AC050000}"/>
    <cellStyle name="Nota 3" xfId="233" xr:uid="{00000000-0005-0000-0000-0000AD050000}"/>
    <cellStyle name="Note" xfId="47" xr:uid="{00000000-0005-0000-0000-0000AE050000}"/>
    <cellStyle name="Note 17" xfId="5823" xr:uid="{00000000-0005-0000-0000-0000AF050000}"/>
    <cellStyle name="Note 19" xfId="5824" xr:uid="{00000000-0005-0000-0000-0000B0050000}"/>
    <cellStyle name="Note 2" xfId="67" xr:uid="{00000000-0005-0000-0000-0000B1050000}"/>
    <cellStyle name="Note 2 2" xfId="3067" xr:uid="{00000000-0005-0000-0000-0000B2050000}"/>
    <cellStyle name="Note 3" xfId="3059" xr:uid="{00000000-0005-0000-0000-0000B3050000}"/>
    <cellStyle name="Output" xfId="48" xr:uid="{00000000-0005-0000-0000-0000B4050000}"/>
    <cellStyle name="Output 2" xfId="3060" xr:uid="{00000000-0005-0000-0000-0000B5050000}"/>
    <cellStyle name="Percent 2" xfId="49" xr:uid="{00000000-0005-0000-0000-0000B6050000}"/>
    <cellStyle name="Percent 2 2" xfId="68" xr:uid="{00000000-0005-0000-0000-0000B7050000}"/>
    <cellStyle name="Percent 2 3" xfId="5825" xr:uid="{00000000-0005-0000-0000-0000B8050000}"/>
    <cellStyle name="Percent 3" xfId="5826" xr:uid="{00000000-0005-0000-0000-0000B9050000}"/>
    <cellStyle name="Percent 4" xfId="5827" xr:uid="{00000000-0005-0000-0000-0000BA050000}"/>
    <cellStyle name="Percentual" xfId="234" xr:uid="{00000000-0005-0000-0000-0000BB050000}"/>
    <cellStyle name="Ponto" xfId="235" xr:uid="{00000000-0005-0000-0000-0000BC050000}"/>
    <cellStyle name="Porcentagem" xfId="5871" builtinId="5"/>
    <cellStyle name="Porcentagem 10 2" xfId="5828" xr:uid="{00000000-0005-0000-0000-0000BE050000}"/>
    <cellStyle name="Porcentagem 16 2 2" xfId="3050" xr:uid="{00000000-0005-0000-0000-0000BF050000}"/>
    <cellStyle name="Porcentagem 2" xfId="50" xr:uid="{00000000-0005-0000-0000-0000C0050000}"/>
    <cellStyle name="Porcentagem 2 10" xfId="100" xr:uid="{00000000-0005-0000-0000-0000C1050000}"/>
    <cellStyle name="Porcentagem 2 2" xfId="51" xr:uid="{00000000-0005-0000-0000-0000C2050000}"/>
    <cellStyle name="Porcentagem 2 2 2" xfId="70" xr:uid="{00000000-0005-0000-0000-0000C3050000}"/>
    <cellStyle name="Porcentagem 2 2 2 2" xfId="5830" xr:uid="{00000000-0005-0000-0000-0000C4050000}"/>
    <cellStyle name="Porcentagem 2 2 3" xfId="5829" xr:uid="{00000000-0005-0000-0000-0000C5050000}"/>
    <cellStyle name="Porcentagem 2 3" xfId="69" xr:uid="{00000000-0005-0000-0000-0000C6050000}"/>
    <cellStyle name="Porcentagem 2 3 2" xfId="5832" xr:uid="{00000000-0005-0000-0000-0000C7050000}"/>
    <cellStyle name="Porcentagem 2 3 3" xfId="5833" xr:uid="{00000000-0005-0000-0000-0000C8050000}"/>
    <cellStyle name="Porcentagem 2 3 4" xfId="5831" xr:uid="{00000000-0005-0000-0000-0000C9050000}"/>
    <cellStyle name="Porcentagem 2 4" xfId="148" xr:uid="{00000000-0005-0000-0000-0000CA050000}"/>
    <cellStyle name="Porcentagem 2 4 2" xfId="5834" xr:uid="{00000000-0005-0000-0000-0000CB050000}"/>
    <cellStyle name="Porcentagem 2 5" xfId="5835" xr:uid="{00000000-0005-0000-0000-0000CC050000}"/>
    <cellStyle name="Porcentagem 3" xfId="107" xr:uid="{00000000-0005-0000-0000-0000CD050000}"/>
    <cellStyle name="Porcentagem 3 2" xfId="149" xr:uid="{00000000-0005-0000-0000-0000CE050000}"/>
    <cellStyle name="Porcentagem 4" xfId="103" xr:uid="{00000000-0005-0000-0000-0000CF050000}"/>
    <cellStyle name="Porcentagem 4 2" xfId="5838" xr:uid="{00000000-0005-0000-0000-0000D0050000}"/>
    <cellStyle name="Porcentagem 4 3" xfId="5839" xr:uid="{00000000-0005-0000-0000-0000D1050000}"/>
    <cellStyle name="Porcentagem 4 4" xfId="5858" xr:uid="{00000000-0005-0000-0000-0000D2050000}"/>
    <cellStyle name="Porcentagem 4 5" xfId="5837" xr:uid="{00000000-0005-0000-0000-0000D3050000}"/>
    <cellStyle name="Porcentagem 5" xfId="236" xr:uid="{00000000-0005-0000-0000-0000D4050000}"/>
    <cellStyle name="Porcentagem 5 2" xfId="5840" xr:uid="{00000000-0005-0000-0000-0000D5050000}"/>
    <cellStyle name="Porcentagem 6" xfId="237" xr:uid="{00000000-0005-0000-0000-0000D6050000}"/>
    <cellStyle name="Porcentagem 6 2" xfId="238" xr:uid="{00000000-0005-0000-0000-0000D7050000}"/>
    <cellStyle name="Porcentagem 6 3" xfId="5841" xr:uid="{00000000-0005-0000-0000-0000D8050000}"/>
    <cellStyle name="Porcentagem 7" xfId="239" xr:uid="{00000000-0005-0000-0000-0000D9050000}"/>
    <cellStyle name="Preenchimento Texto" xfId="240" xr:uid="{00000000-0005-0000-0000-0000DA050000}"/>
    <cellStyle name="Preenchimento Texto Travada" xfId="241" xr:uid="{00000000-0005-0000-0000-0000DB050000}"/>
    <cellStyle name="Saída 2" xfId="242" xr:uid="{00000000-0005-0000-0000-0000DC050000}"/>
    <cellStyle name="Saída 2 2" xfId="3095" xr:uid="{00000000-0005-0000-0000-0000DD050000}"/>
    <cellStyle name="Separador de m" xfId="243" xr:uid="{00000000-0005-0000-0000-0000DE050000}"/>
    <cellStyle name="Separador de milhares 10" xfId="169" xr:uid="{00000000-0005-0000-0000-0000DF050000}"/>
    <cellStyle name="Separador de milhares 11" xfId="335" xr:uid="{00000000-0005-0000-0000-0000E0050000}"/>
    <cellStyle name="Separador de milhares 11 2" xfId="461" xr:uid="{00000000-0005-0000-0000-0000E1050000}"/>
    <cellStyle name="Separador de milhares 11 2 2" xfId="526" xr:uid="{00000000-0005-0000-0000-0000E2050000}"/>
    <cellStyle name="Separador de milhares 11 2 2 2" xfId="700" xr:uid="{00000000-0005-0000-0000-0000E3050000}"/>
    <cellStyle name="Separador de milhares 11 2 2 2 2" xfId="1037" xr:uid="{00000000-0005-0000-0000-0000E4050000}"/>
    <cellStyle name="Separador de milhares 11 2 2 2 2 2" xfId="1804" xr:uid="{00000000-0005-0000-0000-0000E5050000}"/>
    <cellStyle name="Separador de milhares 11 2 2 2 2 2 2" xfId="2997" xr:uid="{00000000-0005-0000-0000-0000E6050000}"/>
    <cellStyle name="Separador de milhares 11 2 2 2 2 2 2 2" xfId="5693" xr:uid="{00000000-0005-0000-0000-0000E7050000}"/>
    <cellStyle name="Separador de milhares 11 2 2 2 2 2 3" xfId="4500" xr:uid="{00000000-0005-0000-0000-0000E8050000}"/>
    <cellStyle name="Separador de milhares 11 2 2 2 2 3" xfId="2497" xr:uid="{00000000-0005-0000-0000-0000E9050000}"/>
    <cellStyle name="Separador de milhares 11 2 2 2 2 3 2" xfId="5193" xr:uid="{00000000-0005-0000-0000-0000EA050000}"/>
    <cellStyle name="Separador de milhares 11 2 2 2 2 4" xfId="3734" xr:uid="{00000000-0005-0000-0000-0000EB050000}"/>
    <cellStyle name="Separador de milhares 11 2 2 2 3" xfId="1467" xr:uid="{00000000-0005-0000-0000-0000EC050000}"/>
    <cellStyle name="Separador de milhares 11 2 2 2 3 2" xfId="2747" xr:uid="{00000000-0005-0000-0000-0000ED050000}"/>
    <cellStyle name="Separador de milhares 11 2 2 2 3 2 2" xfId="5443" xr:uid="{00000000-0005-0000-0000-0000EE050000}"/>
    <cellStyle name="Separador de milhares 11 2 2 2 3 3" xfId="4163" xr:uid="{00000000-0005-0000-0000-0000EF050000}"/>
    <cellStyle name="Separador de milhares 11 2 2 2 4" xfId="2247" xr:uid="{00000000-0005-0000-0000-0000F0050000}"/>
    <cellStyle name="Separador de milhares 11 2 2 2 4 2" xfId="4943" xr:uid="{00000000-0005-0000-0000-0000F1050000}"/>
    <cellStyle name="Separador de milhares 11 2 2 2 5" xfId="3397" xr:uid="{00000000-0005-0000-0000-0000F2050000}"/>
    <cellStyle name="Separador de milhares 11 2 2 3" xfId="864" xr:uid="{00000000-0005-0000-0000-0000F3050000}"/>
    <cellStyle name="Separador de milhares 11 2 2 3 2" xfId="1631" xr:uid="{00000000-0005-0000-0000-0000F4050000}"/>
    <cellStyle name="Separador de milhares 11 2 2 3 2 2" xfId="2872" xr:uid="{00000000-0005-0000-0000-0000F5050000}"/>
    <cellStyle name="Separador de milhares 11 2 2 3 2 2 2" xfId="5568" xr:uid="{00000000-0005-0000-0000-0000F6050000}"/>
    <cellStyle name="Separador de milhares 11 2 2 3 2 3" xfId="4327" xr:uid="{00000000-0005-0000-0000-0000F7050000}"/>
    <cellStyle name="Separador de milhares 11 2 2 3 3" xfId="2372" xr:uid="{00000000-0005-0000-0000-0000F8050000}"/>
    <cellStyle name="Separador de milhares 11 2 2 3 3 2" xfId="5068" xr:uid="{00000000-0005-0000-0000-0000F9050000}"/>
    <cellStyle name="Separador de milhares 11 2 2 3 4" xfId="3561" xr:uid="{00000000-0005-0000-0000-0000FA050000}"/>
    <cellStyle name="Separador de milhares 11 2 2 4" xfId="1294" xr:uid="{00000000-0005-0000-0000-0000FB050000}"/>
    <cellStyle name="Separador de milhares 11 2 2 4 2" xfId="2622" xr:uid="{00000000-0005-0000-0000-0000FC050000}"/>
    <cellStyle name="Separador de milhares 11 2 2 4 2 2" xfId="5318" xr:uid="{00000000-0005-0000-0000-0000FD050000}"/>
    <cellStyle name="Separador de milhares 11 2 2 4 3" xfId="3990" xr:uid="{00000000-0005-0000-0000-0000FE050000}"/>
    <cellStyle name="Separador de milhares 11 2 2 5" xfId="2122" xr:uid="{00000000-0005-0000-0000-0000FF050000}"/>
    <cellStyle name="Separador de milhares 11 2 2 5 2" xfId="4818" xr:uid="{00000000-0005-0000-0000-000000060000}"/>
    <cellStyle name="Separador de milhares 11 2 2 6" xfId="3224" xr:uid="{00000000-0005-0000-0000-000001060000}"/>
    <cellStyle name="Separador de milhares 11 2 3" xfId="637" xr:uid="{00000000-0005-0000-0000-000002060000}"/>
    <cellStyle name="Separador de milhares 11 2 3 2" xfId="974" xr:uid="{00000000-0005-0000-0000-000003060000}"/>
    <cellStyle name="Separador de milhares 11 2 3 2 2" xfId="1741" xr:uid="{00000000-0005-0000-0000-000004060000}"/>
    <cellStyle name="Separador de milhares 11 2 3 2 2 2" xfId="2935" xr:uid="{00000000-0005-0000-0000-000005060000}"/>
    <cellStyle name="Separador de milhares 11 2 3 2 2 2 2" xfId="5631" xr:uid="{00000000-0005-0000-0000-000006060000}"/>
    <cellStyle name="Separador de milhares 11 2 3 2 2 3" xfId="4437" xr:uid="{00000000-0005-0000-0000-000007060000}"/>
    <cellStyle name="Separador de milhares 11 2 3 2 3" xfId="2435" xr:uid="{00000000-0005-0000-0000-000008060000}"/>
    <cellStyle name="Separador de milhares 11 2 3 2 3 2" xfId="5131" xr:uid="{00000000-0005-0000-0000-000009060000}"/>
    <cellStyle name="Separador de milhares 11 2 3 2 4" xfId="3671" xr:uid="{00000000-0005-0000-0000-00000A060000}"/>
    <cellStyle name="Separador de milhares 11 2 3 3" xfId="1404" xr:uid="{00000000-0005-0000-0000-00000B060000}"/>
    <cellStyle name="Separador de milhares 11 2 3 3 2" xfId="2685" xr:uid="{00000000-0005-0000-0000-00000C060000}"/>
    <cellStyle name="Separador de milhares 11 2 3 3 2 2" xfId="5381" xr:uid="{00000000-0005-0000-0000-00000D060000}"/>
    <cellStyle name="Separador de milhares 11 2 3 3 3" xfId="4100" xr:uid="{00000000-0005-0000-0000-00000E060000}"/>
    <cellStyle name="Separador de milhares 11 2 3 4" xfId="2185" xr:uid="{00000000-0005-0000-0000-00000F060000}"/>
    <cellStyle name="Separador de milhares 11 2 3 4 2" xfId="4881" xr:uid="{00000000-0005-0000-0000-000010060000}"/>
    <cellStyle name="Separador de milhares 11 2 3 5" xfId="3334" xr:uid="{00000000-0005-0000-0000-000011060000}"/>
    <cellStyle name="Separador de milhares 11 2 4" xfId="800" xr:uid="{00000000-0005-0000-0000-000012060000}"/>
    <cellStyle name="Separador de milhares 11 2 4 2" xfId="1567" xr:uid="{00000000-0005-0000-0000-000013060000}"/>
    <cellStyle name="Separador de milhares 11 2 4 2 2" xfId="2810" xr:uid="{00000000-0005-0000-0000-000014060000}"/>
    <cellStyle name="Separador de milhares 11 2 4 2 2 2" xfId="5506" xr:uid="{00000000-0005-0000-0000-000015060000}"/>
    <cellStyle name="Separador de milhares 11 2 4 2 3" xfId="4263" xr:uid="{00000000-0005-0000-0000-000016060000}"/>
    <cellStyle name="Separador de milhares 11 2 4 3" xfId="2310" xr:uid="{00000000-0005-0000-0000-000017060000}"/>
    <cellStyle name="Separador de milhares 11 2 4 3 2" xfId="5006" xr:uid="{00000000-0005-0000-0000-000018060000}"/>
    <cellStyle name="Separador de milhares 11 2 4 4" xfId="3497" xr:uid="{00000000-0005-0000-0000-000019060000}"/>
    <cellStyle name="Separador de milhares 11 2 5" xfId="1231" xr:uid="{00000000-0005-0000-0000-00001A060000}"/>
    <cellStyle name="Separador de milhares 11 2 5 2" xfId="2560" xr:uid="{00000000-0005-0000-0000-00001B060000}"/>
    <cellStyle name="Separador de milhares 11 2 5 2 2" xfId="5256" xr:uid="{00000000-0005-0000-0000-00001C060000}"/>
    <cellStyle name="Separador de milhares 11 2 5 3" xfId="3927" xr:uid="{00000000-0005-0000-0000-00001D060000}"/>
    <cellStyle name="Separador de milhares 11 2 6" xfId="2060" xr:uid="{00000000-0005-0000-0000-00001E060000}"/>
    <cellStyle name="Separador de milhares 11 2 6 2" xfId="4756" xr:uid="{00000000-0005-0000-0000-00001F060000}"/>
    <cellStyle name="Separador de milhares 11 2 7" xfId="3160" xr:uid="{00000000-0005-0000-0000-000020060000}"/>
    <cellStyle name="Separador de milhares 11 3" xfId="2005" xr:uid="{00000000-0005-0000-0000-000021060000}"/>
    <cellStyle name="Separador de milhares 11 3 2" xfId="4701" xr:uid="{00000000-0005-0000-0000-000022060000}"/>
    <cellStyle name="Separador de milhares 11 4" xfId="3036" xr:uid="{00000000-0005-0000-0000-000023060000}"/>
    <cellStyle name="Separador de milhares 11 4 2" xfId="5731" xr:uid="{00000000-0005-0000-0000-000024060000}"/>
    <cellStyle name="Separador de milhares 11 4 3" xfId="5882" xr:uid="{00000000-0005-0000-0000-000025060000}"/>
    <cellStyle name="Separador de milhares 11 5" xfId="3104" xr:uid="{00000000-0005-0000-0000-000026060000}"/>
    <cellStyle name="Separador de milhares 12" xfId="336" xr:uid="{00000000-0005-0000-0000-000027060000}"/>
    <cellStyle name="Separador de milhares 12 2" xfId="462" xr:uid="{00000000-0005-0000-0000-000028060000}"/>
    <cellStyle name="Separador de milhares 12 2 2" xfId="527" xr:uid="{00000000-0005-0000-0000-000029060000}"/>
    <cellStyle name="Separador de milhares 12 2 2 2" xfId="701" xr:uid="{00000000-0005-0000-0000-00002A060000}"/>
    <cellStyle name="Separador de milhares 12 2 2 2 2" xfId="1038" xr:uid="{00000000-0005-0000-0000-00002B060000}"/>
    <cellStyle name="Separador de milhares 12 2 2 2 2 2" xfId="1805" xr:uid="{00000000-0005-0000-0000-00002C060000}"/>
    <cellStyle name="Separador de milhares 12 2 2 2 2 2 2" xfId="2998" xr:uid="{00000000-0005-0000-0000-00002D060000}"/>
    <cellStyle name="Separador de milhares 12 2 2 2 2 2 2 2" xfId="5694" xr:uid="{00000000-0005-0000-0000-00002E060000}"/>
    <cellStyle name="Separador de milhares 12 2 2 2 2 2 3" xfId="4501" xr:uid="{00000000-0005-0000-0000-00002F060000}"/>
    <cellStyle name="Separador de milhares 12 2 2 2 2 3" xfId="2498" xr:uid="{00000000-0005-0000-0000-000030060000}"/>
    <cellStyle name="Separador de milhares 12 2 2 2 2 3 2" xfId="5194" xr:uid="{00000000-0005-0000-0000-000031060000}"/>
    <cellStyle name="Separador de milhares 12 2 2 2 2 4" xfId="3735" xr:uid="{00000000-0005-0000-0000-000032060000}"/>
    <cellStyle name="Separador de milhares 12 2 2 2 3" xfId="1468" xr:uid="{00000000-0005-0000-0000-000033060000}"/>
    <cellStyle name="Separador de milhares 12 2 2 2 3 2" xfId="2748" xr:uid="{00000000-0005-0000-0000-000034060000}"/>
    <cellStyle name="Separador de milhares 12 2 2 2 3 2 2" xfId="5444" xr:uid="{00000000-0005-0000-0000-000035060000}"/>
    <cellStyle name="Separador de milhares 12 2 2 2 3 3" xfId="4164" xr:uid="{00000000-0005-0000-0000-000036060000}"/>
    <cellStyle name="Separador de milhares 12 2 2 2 4" xfId="2248" xr:uid="{00000000-0005-0000-0000-000037060000}"/>
    <cellStyle name="Separador de milhares 12 2 2 2 4 2" xfId="4944" xr:uid="{00000000-0005-0000-0000-000038060000}"/>
    <cellStyle name="Separador de milhares 12 2 2 2 5" xfId="3398" xr:uid="{00000000-0005-0000-0000-000039060000}"/>
    <cellStyle name="Separador de milhares 12 2 2 3" xfId="865" xr:uid="{00000000-0005-0000-0000-00003A060000}"/>
    <cellStyle name="Separador de milhares 12 2 2 3 2" xfId="1632" xr:uid="{00000000-0005-0000-0000-00003B060000}"/>
    <cellStyle name="Separador de milhares 12 2 2 3 2 2" xfId="2873" xr:uid="{00000000-0005-0000-0000-00003C060000}"/>
    <cellStyle name="Separador de milhares 12 2 2 3 2 2 2" xfId="5569" xr:uid="{00000000-0005-0000-0000-00003D060000}"/>
    <cellStyle name="Separador de milhares 12 2 2 3 2 3" xfId="4328" xr:uid="{00000000-0005-0000-0000-00003E060000}"/>
    <cellStyle name="Separador de milhares 12 2 2 3 3" xfId="2373" xr:uid="{00000000-0005-0000-0000-00003F060000}"/>
    <cellStyle name="Separador de milhares 12 2 2 3 3 2" xfId="5069" xr:uid="{00000000-0005-0000-0000-000040060000}"/>
    <cellStyle name="Separador de milhares 12 2 2 3 4" xfId="3562" xr:uid="{00000000-0005-0000-0000-000041060000}"/>
    <cellStyle name="Separador de milhares 12 2 2 4" xfId="1295" xr:uid="{00000000-0005-0000-0000-000042060000}"/>
    <cellStyle name="Separador de milhares 12 2 2 4 2" xfId="2623" xr:uid="{00000000-0005-0000-0000-000043060000}"/>
    <cellStyle name="Separador de milhares 12 2 2 4 2 2" xfId="5319" xr:uid="{00000000-0005-0000-0000-000044060000}"/>
    <cellStyle name="Separador de milhares 12 2 2 4 3" xfId="3991" xr:uid="{00000000-0005-0000-0000-000045060000}"/>
    <cellStyle name="Separador de milhares 12 2 2 5" xfId="2123" xr:uid="{00000000-0005-0000-0000-000046060000}"/>
    <cellStyle name="Separador de milhares 12 2 2 5 2" xfId="4819" xr:uid="{00000000-0005-0000-0000-000047060000}"/>
    <cellStyle name="Separador de milhares 12 2 2 6" xfId="3225" xr:uid="{00000000-0005-0000-0000-000048060000}"/>
    <cellStyle name="Separador de milhares 12 2 3" xfId="638" xr:uid="{00000000-0005-0000-0000-000049060000}"/>
    <cellStyle name="Separador de milhares 12 2 3 2" xfId="975" xr:uid="{00000000-0005-0000-0000-00004A060000}"/>
    <cellStyle name="Separador de milhares 12 2 3 2 2" xfId="1742" xr:uid="{00000000-0005-0000-0000-00004B060000}"/>
    <cellStyle name="Separador de milhares 12 2 3 2 2 2" xfId="2936" xr:uid="{00000000-0005-0000-0000-00004C060000}"/>
    <cellStyle name="Separador de milhares 12 2 3 2 2 2 2" xfId="5632" xr:uid="{00000000-0005-0000-0000-00004D060000}"/>
    <cellStyle name="Separador de milhares 12 2 3 2 2 3" xfId="4438" xr:uid="{00000000-0005-0000-0000-00004E060000}"/>
    <cellStyle name="Separador de milhares 12 2 3 2 3" xfId="2436" xr:uid="{00000000-0005-0000-0000-00004F060000}"/>
    <cellStyle name="Separador de milhares 12 2 3 2 3 2" xfId="5132" xr:uid="{00000000-0005-0000-0000-000050060000}"/>
    <cellStyle name="Separador de milhares 12 2 3 2 4" xfId="3672" xr:uid="{00000000-0005-0000-0000-000051060000}"/>
    <cellStyle name="Separador de milhares 12 2 3 3" xfId="1405" xr:uid="{00000000-0005-0000-0000-000052060000}"/>
    <cellStyle name="Separador de milhares 12 2 3 3 2" xfId="2686" xr:uid="{00000000-0005-0000-0000-000053060000}"/>
    <cellStyle name="Separador de milhares 12 2 3 3 2 2" xfId="5382" xr:uid="{00000000-0005-0000-0000-000054060000}"/>
    <cellStyle name="Separador de milhares 12 2 3 3 3" xfId="4101" xr:uid="{00000000-0005-0000-0000-000055060000}"/>
    <cellStyle name="Separador de milhares 12 2 3 4" xfId="2186" xr:uid="{00000000-0005-0000-0000-000056060000}"/>
    <cellStyle name="Separador de milhares 12 2 3 4 2" xfId="4882" xr:uid="{00000000-0005-0000-0000-000057060000}"/>
    <cellStyle name="Separador de milhares 12 2 3 5" xfId="3335" xr:uid="{00000000-0005-0000-0000-000058060000}"/>
    <cellStyle name="Separador de milhares 12 2 4" xfId="801" xr:uid="{00000000-0005-0000-0000-000059060000}"/>
    <cellStyle name="Separador de milhares 12 2 4 2" xfId="1568" xr:uid="{00000000-0005-0000-0000-00005A060000}"/>
    <cellStyle name="Separador de milhares 12 2 4 2 2" xfId="2811" xr:uid="{00000000-0005-0000-0000-00005B060000}"/>
    <cellStyle name="Separador de milhares 12 2 4 2 2 2" xfId="5507" xr:uid="{00000000-0005-0000-0000-00005C060000}"/>
    <cellStyle name="Separador de milhares 12 2 4 2 3" xfId="4264" xr:uid="{00000000-0005-0000-0000-00005D060000}"/>
    <cellStyle name="Separador de milhares 12 2 4 3" xfId="2311" xr:uid="{00000000-0005-0000-0000-00005E060000}"/>
    <cellStyle name="Separador de milhares 12 2 4 3 2" xfId="5007" xr:uid="{00000000-0005-0000-0000-00005F060000}"/>
    <cellStyle name="Separador de milhares 12 2 4 4" xfId="3498" xr:uid="{00000000-0005-0000-0000-000060060000}"/>
    <cellStyle name="Separador de milhares 12 2 5" xfId="1232" xr:uid="{00000000-0005-0000-0000-000061060000}"/>
    <cellStyle name="Separador de milhares 12 2 5 2" xfId="2561" xr:uid="{00000000-0005-0000-0000-000062060000}"/>
    <cellStyle name="Separador de milhares 12 2 5 2 2" xfId="5257" xr:uid="{00000000-0005-0000-0000-000063060000}"/>
    <cellStyle name="Separador de milhares 12 2 5 3" xfId="3928" xr:uid="{00000000-0005-0000-0000-000064060000}"/>
    <cellStyle name="Separador de milhares 12 2 6" xfId="2061" xr:uid="{00000000-0005-0000-0000-000065060000}"/>
    <cellStyle name="Separador de milhares 12 2 6 2" xfId="4757" xr:uid="{00000000-0005-0000-0000-000066060000}"/>
    <cellStyle name="Separador de milhares 12 2 7" xfId="3161" xr:uid="{00000000-0005-0000-0000-000067060000}"/>
    <cellStyle name="Separador de milhares 12 3" xfId="500" xr:uid="{00000000-0005-0000-0000-000068060000}"/>
    <cellStyle name="Separador de milhares 12 3 2" xfId="675" xr:uid="{00000000-0005-0000-0000-000069060000}"/>
    <cellStyle name="Separador de milhares 12 3 2 2" xfId="1012" xr:uid="{00000000-0005-0000-0000-00006A060000}"/>
    <cellStyle name="Separador de milhares 12 3 2 2 2" xfId="1779" xr:uid="{00000000-0005-0000-0000-00006B060000}"/>
    <cellStyle name="Separador de milhares 12 3 2 2 2 2" xfId="2972" xr:uid="{00000000-0005-0000-0000-00006C060000}"/>
    <cellStyle name="Separador de milhares 12 3 2 2 2 2 2" xfId="5668" xr:uid="{00000000-0005-0000-0000-00006D060000}"/>
    <cellStyle name="Separador de milhares 12 3 2 2 2 3" xfId="4475" xr:uid="{00000000-0005-0000-0000-00006E060000}"/>
    <cellStyle name="Separador de milhares 12 3 2 2 3" xfId="2472" xr:uid="{00000000-0005-0000-0000-00006F060000}"/>
    <cellStyle name="Separador de milhares 12 3 2 2 3 2" xfId="5168" xr:uid="{00000000-0005-0000-0000-000070060000}"/>
    <cellStyle name="Separador de milhares 12 3 2 2 4" xfId="3709" xr:uid="{00000000-0005-0000-0000-000071060000}"/>
    <cellStyle name="Separador de milhares 12 3 2 3" xfId="1442" xr:uid="{00000000-0005-0000-0000-000072060000}"/>
    <cellStyle name="Separador de milhares 12 3 2 3 2" xfId="2722" xr:uid="{00000000-0005-0000-0000-000073060000}"/>
    <cellStyle name="Separador de milhares 12 3 2 3 2 2" xfId="5418" xr:uid="{00000000-0005-0000-0000-000074060000}"/>
    <cellStyle name="Separador de milhares 12 3 2 3 3" xfId="4138" xr:uid="{00000000-0005-0000-0000-000075060000}"/>
    <cellStyle name="Separador de milhares 12 3 2 4" xfId="2222" xr:uid="{00000000-0005-0000-0000-000076060000}"/>
    <cellStyle name="Separador de milhares 12 3 2 4 2" xfId="4918" xr:uid="{00000000-0005-0000-0000-000077060000}"/>
    <cellStyle name="Separador de milhares 12 3 2 5" xfId="3372" xr:uid="{00000000-0005-0000-0000-000078060000}"/>
    <cellStyle name="Separador de milhares 12 3 3" xfId="838" xr:uid="{00000000-0005-0000-0000-000079060000}"/>
    <cellStyle name="Separador de milhares 12 3 3 2" xfId="1605" xr:uid="{00000000-0005-0000-0000-00007A060000}"/>
    <cellStyle name="Separador de milhares 12 3 3 2 2" xfId="2847" xr:uid="{00000000-0005-0000-0000-00007B060000}"/>
    <cellStyle name="Separador de milhares 12 3 3 2 2 2" xfId="5543" xr:uid="{00000000-0005-0000-0000-00007C060000}"/>
    <cellStyle name="Separador de milhares 12 3 3 2 3" xfId="4301" xr:uid="{00000000-0005-0000-0000-00007D060000}"/>
    <cellStyle name="Separador de milhares 12 3 3 3" xfId="2347" xr:uid="{00000000-0005-0000-0000-00007E060000}"/>
    <cellStyle name="Separador de milhares 12 3 3 3 2" xfId="5043" xr:uid="{00000000-0005-0000-0000-00007F060000}"/>
    <cellStyle name="Separador de milhares 12 3 3 4" xfId="3535" xr:uid="{00000000-0005-0000-0000-000080060000}"/>
    <cellStyle name="Separador de milhares 12 3 4" xfId="1268" xr:uid="{00000000-0005-0000-0000-000081060000}"/>
    <cellStyle name="Separador de milhares 12 3 4 2" xfId="2597" xr:uid="{00000000-0005-0000-0000-000082060000}"/>
    <cellStyle name="Separador de milhares 12 3 4 2 2" xfId="5293" xr:uid="{00000000-0005-0000-0000-000083060000}"/>
    <cellStyle name="Separador de milhares 12 3 4 3" xfId="3964" xr:uid="{00000000-0005-0000-0000-000084060000}"/>
    <cellStyle name="Separador de milhares 12 3 5" xfId="2097" xr:uid="{00000000-0005-0000-0000-000085060000}"/>
    <cellStyle name="Separador de milhares 12 3 5 2" xfId="4793" xr:uid="{00000000-0005-0000-0000-000086060000}"/>
    <cellStyle name="Separador de milhares 12 3 6" xfId="3198" xr:uid="{00000000-0005-0000-0000-000087060000}"/>
    <cellStyle name="Separador de milhares 12 4" xfId="599" xr:uid="{00000000-0005-0000-0000-000088060000}"/>
    <cellStyle name="Separador de milhares 12 4 2" xfId="936" xr:uid="{00000000-0005-0000-0000-000089060000}"/>
    <cellStyle name="Separador de milhares 12 4 2 2" xfId="1703" xr:uid="{00000000-0005-0000-0000-00008A060000}"/>
    <cellStyle name="Separador de milhares 12 4 2 2 2" xfId="2910" xr:uid="{00000000-0005-0000-0000-00008B060000}"/>
    <cellStyle name="Separador de milhares 12 4 2 2 2 2" xfId="5606" xr:uid="{00000000-0005-0000-0000-00008C060000}"/>
    <cellStyle name="Separador de milhares 12 4 2 2 3" xfId="4399" xr:uid="{00000000-0005-0000-0000-00008D060000}"/>
    <cellStyle name="Separador de milhares 12 4 2 3" xfId="2410" xr:uid="{00000000-0005-0000-0000-00008E060000}"/>
    <cellStyle name="Separador de milhares 12 4 2 3 2" xfId="5106" xr:uid="{00000000-0005-0000-0000-00008F060000}"/>
    <cellStyle name="Separador de milhares 12 4 2 4" xfId="3633" xr:uid="{00000000-0005-0000-0000-000090060000}"/>
    <cellStyle name="Separador de milhares 12 4 3" xfId="1366" xr:uid="{00000000-0005-0000-0000-000091060000}"/>
    <cellStyle name="Separador de milhares 12 4 3 2" xfId="2660" xr:uid="{00000000-0005-0000-0000-000092060000}"/>
    <cellStyle name="Separador de milhares 12 4 3 2 2" xfId="5356" xr:uid="{00000000-0005-0000-0000-000093060000}"/>
    <cellStyle name="Separador de milhares 12 4 3 3" xfId="4062" xr:uid="{00000000-0005-0000-0000-000094060000}"/>
    <cellStyle name="Separador de milhares 12 4 4" xfId="2160" xr:uid="{00000000-0005-0000-0000-000095060000}"/>
    <cellStyle name="Separador de milhares 12 4 4 2" xfId="4856" xr:uid="{00000000-0005-0000-0000-000096060000}"/>
    <cellStyle name="Separador de milhares 12 4 5" xfId="3296" xr:uid="{00000000-0005-0000-0000-000097060000}"/>
    <cellStyle name="Separador de milhares 12 5" xfId="773" xr:uid="{00000000-0005-0000-0000-000098060000}"/>
    <cellStyle name="Separador de milhares 12 5 2" xfId="1540" xr:uid="{00000000-0005-0000-0000-000099060000}"/>
    <cellStyle name="Separador de milhares 12 5 2 2" xfId="2785" xr:uid="{00000000-0005-0000-0000-00009A060000}"/>
    <cellStyle name="Separador de milhares 12 5 2 2 2" xfId="5481" xr:uid="{00000000-0005-0000-0000-00009B060000}"/>
    <cellStyle name="Separador de milhares 12 5 2 3" xfId="4236" xr:uid="{00000000-0005-0000-0000-00009C060000}"/>
    <cellStyle name="Separador de milhares 12 5 3" xfId="2285" xr:uid="{00000000-0005-0000-0000-00009D060000}"/>
    <cellStyle name="Separador de milhares 12 5 3 2" xfId="4981" xr:uid="{00000000-0005-0000-0000-00009E060000}"/>
    <cellStyle name="Separador de milhares 12 5 4" xfId="3470" xr:uid="{00000000-0005-0000-0000-00009F060000}"/>
    <cellStyle name="Separador de milhares 12 6" xfId="1206" xr:uid="{00000000-0005-0000-0000-0000A0060000}"/>
    <cellStyle name="Separador de milhares 12 6 2" xfId="2535" xr:uid="{00000000-0005-0000-0000-0000A1060000}"/>
    <cellStyle name="Separador de milhares 12 6 2 2" xfId="5231" xr:uid="{00000000-0005-0000-0000-0000A2060000}"/>
    <cellStyle name="Separador de milhares 12 6 3" xfId="3902" xr:uid="{00000000-0005-0000-0000-0000A3060000}"/>
    <cellStyle name="Separador de milhares 12 7" xfId="2006" xr:uid="{00000000-0005-0000-0000-0000A4060000}"/>
    <cellStyle name="Separador de milhares 12 7 2" xfId="4702" xr:uid="{00000000-0005-0000-0000-0000A5060000}"/>
    <cellStyle name="Separador de milhares 12 8" xfId="3105" xr:uid="{00000000-0005-0000-0000-0000A6060000}"/>
    <cellStyle name="Separador de milhares 13" xfId="337" xr:uid="{00000000-0005-0000-0000-0000A7060000}"/>
    <cellStyle name="Separador de milhares 13 2" xfId="463" xr:uid="{00000000-0005-0000-0000-0000A8060000}"/>
    <cellStyle name="Separador de milhares 13 2 2" xfId="528" xr:uid="{00000000-0005-0000-0000-0000A9060000}"/>
    <cellStyle name="Separador de milhares 13 2 2 2" xfId="702" xr:uid="{00000000-0005-0000-0000-0000AA060000}"/>
    <cellStyle name="Separador de milhares 13 2 2 2 2" xfId="1039" xr:uid="{00000000-0005-0000-0000-0000AB060000}"/>
    <cellStyle name="Separador de milhares 13 2 2 2 2 2" xfId="1806" xr:uid="{00000000-0005-0000-0000-0000AC060000}"/>
    <cellStyle name="Separador de milhares 13 2 2 2 2 2 2" xfId="2999" xr:uid="{00000000-0005-0000-0000-0000AD060000}"/>
    <cellStyle name="Separador de milhares 13 2 2 2 2 2 2 2" xfId="5695" xr:uid="{00000000-0005-0000-0000-0000AE060000}"/>
    <cellStyle name="Separador de milhares 13 2 2 2 2 2 3" xfId="4502" xr:uid="{00000000-0005-0000-0000-0000AF060000}"/>
    <cellStyle name="Separador de milhares 13 2 2 2 2 3" xfId="2499" xr:uid="{00000000-0005-0000-0000-0000B0060000}"/>
    <cellStyle name="Separador de milhares 13 2 2 2 2 3 2" xfId="5195" xr:uid="{00000000-0005-0000-0000-0000B1060000}"/>
    <cellStyle name="Separador de milhares 13 2 2 2 2 4" xfId="3736" xr:uid="{00000000-0005-0000-0000-0000B2060000}"/>
    <cellStyle name="Separador de milhares 13 2 2 2 3" xfId="1469" xr:uid="{00000000-0005-0000-0000-0000B3060000}"/>
    <cellStyle name="Separador de milhares 13 2 2 2 3 2" xfId="2749" xr:uid="{00000000-0005-0000-0000-0000B4060000}"/>
    <cellStyle name="Separador de milhares 13 2 2 2 3 2 2" xfId="5445" xr:uid="{00000000-0005-0000-0000-0000B5060000}"/>
    <cellStyle name="Separador de milhares 13 2 2 2 3 3" xfId="4165" xr:uid="{00000000-0005-0000-0000-0000B6060000}"/>
    <cellStyle name="Separador de milhares 13 2 2 2 4" xfId="2249" xr:uid="{00000000-0005-0000-0000-0000B7060000}"/>
    <cellStyle name="Separador de milhares 13 2 2 2 4 2" xfId="4945" xr:uid="{00000000-0005-0000-0000-0000B8060000}"/>
    <cellStyle name="Separador de milhares 13 2 2 2 5" xfId="3399" xr:uid="{00000000-0005-0000-0000-0000B9060000}"/>
    <cellStyle name="Separador de milhares 13 2 2 3" xfId="866" xr:uid="{00000000-0005-0000-0000-0000BA060000}"/>
    <cellStyle name="Separador de milhares 13 2 2 3 2" xfId="1633" xr:uid="{00000000-0005-0000-0000-0000BB060000}"/>
    <cellStyle name="Separador de milhares 13 2 2 3 2 2" xfId="2874" xr:uid="{00000000-0005-0000-0000-0000BC060000}"/>
    <cellStyle name="Separador de milhares 13 2 2 3 2 2 2" xfId="5570" xr:uid="{00000000-0005-0000-0000-0000BD060000}"/>
    <cellStyle name="Separador de milhares 13 2 2 3 2 3" xfId="4329" xr:uid="{00000000-0005-0000-0000-0000BE060000}"/>
    <cellStyle name="Separador de milhares 13 2 2 3 3" xfId="2374" xr:uid="{00000000-0005-0000-0000-0000BF060000}"/>
    <cellStyle name="Separador de milhares 13 2 2 3 3 2" xfId="5070" xr:uid="{00000000-0005-0000-0000-0000C0060000}"/>
    <cellStyle name="Separador de milhares 13 2 2 3 4" xfId="3563" xr:uid="{00000000-0005-0000-0000-0000C1060000}"/>
    <cellStyle name="Separador de milhares 13 2 2 4" xfId="1296" xr:uid="{00000000-0005-0000-0000-0000C2060000}"/>
    <cellStyle name="Separador de milhares 13 2 2 4 2" xfId="2624" xr:uid="{00000000-0005-0000-0000-0000C3060000}"/>
    <cellStyle name="Separador de milhares 13 2 2 4 2 2" xfId="5320" xr:uid="{00000000-0005-0000-0000-0000C4060000}"/>
    <cellStyle name="Separador de milhares 13 2 2 4 3" xfId="3992" xr:uid="{00000000-0005-0000-0000-0000C5060000}"/>
    <cellStyle name="Separador de milhares 13 2 2 5" xfId="2124" xr:uid="{00000000-0005-0000-0000-0000C6060000}"/>
    <cellStyle name="Separador de milhares 13 2 2 5 2" xfId="4820" xr:uid="{00000000-0005-0000-0000-0000C7060000}"/>
    <cellStyle name="Separador de milhares 13 2 2 6" xfId="3226" xr:uid="{00000000-0005-0000-0000-0000C8060000}"/>
    <cellStyle name="Separador de milhares 13 2 3" xfId="639" xr:uid="{00000000-0005-0000-0000-0000C9060000}"/>
    <cellStyle name="Separador de milhares 13 2 3 2" xfId="976" xr:uid="{00000000-0005-0000-0000-0000CA060000}"/>
    <cellStyle name="Separador de milhares 13 2 3 2 2" xfId="1743" xr:uid="{00000000-0005-0000-0000-0000CB060000}"/>
    <cellStyle name="Separador de milhares 13 2 3 2 2 2" xfId="2937" xr:uid="{00000000-0005-0000-0000-0000CC060000}"/>
    <cellStyle name="Separador de milhares 13 2 3 2 2 2 2" xfId="5633" xr:uid="{00000000-0005-0000-0000-0000CD060000}"/>
    <cellStyle name="Separador de milhares 13 2 3 2 2 3" xfId="4439" xr:uid="{00000000-0005-0000-0000-0000CE060000}"/>
    <cellStyle name="Separador de milhares 13 2 3 2 3" xfId="2437" xr:uid="{00000000-0005-0000-0000-0000CF060000}"/>
    <cellStyle name="Separador de milhares 13 2 3 2 3 2" xfId="5133" xr:uid="{00000000-0005-0000-0000-0000D0060000}"/>
    <cellStyle name="Separador de milhares 13 2 3 2 4" xfId="3673" xr:uid="{00000000-0005-0000-0000-0000D1060000}"/>
    <cellStyle name="Separador de milhares 13 2 3 3" xfId="1406" xr:uid="{00000000-0005-0000-0000-0000D2060000}"/>
    <cellStyle name="Separador de milhares 13 2 3 3 2" xfId="2687" xr:uid="{00000000-0005-0000-0000-0000D3060000}"/>
    <cellStyle name="Separador de milhares 13 2 3 3 2 2" xfId="5383" xr:uid="{00000000-0005-0000-0000-0000D4060000}"/>
    <cellStyle name="Separador de milhares 13 2 3 3 3" xfId="4102" xr:uid="{00000000-0005-0000-0000-0000D5060000}"/>
    <cellStyle name="Separador de milhares 13 2 3 4" xfId="2187" xr:uid="{00000000-0005-0000-0000-0000D6060000}"/>
    <cellStyle name="Separador de milhares 13 2 3 4 2" xfId="4883" xr:uid="{00000000-0005-0000-0000-0000D7060000}"/>
    <cellStyle name="Separador de milhares 13 2 3 5" xfId="3336" xr:uid="{00000000-0005-0000-0000-0000D8060000}"/>
    <cellStyle name="Separador de milhares 13 2 4" xfId="802" xr:uid="{00000000-0005-0000-0000-0000D9060000}"/>
    <cellStyle name="Separador de milhares 13 2 4 2" xfId="1569" xr:uid="{00000000-0005-0000-0000-0000DA060000}"/>
    <cellStyle name="Separador de milhares 13 2 4 2 2" xfId="2812" xr:uid="{00000000-0005-0000-0000-0000DB060000}"/>
    <cellStyle name="Separador de milhares 13 2 4 2 2 2" xfId="5508" xr:uid="{00000000-0005-0000-0000-0000DC060000}"/>
    <cellStyle name="Separador de milhares 13 2 4 2 3" xfId="4265" xr:uid="{00000000-0005-0000-0000-0000DD060000}"/>
    <cellStyle name="Separador de milhares 13 2 4 3" xfId="2312" xr:uid="{00000000-0005-0000-0000-0000DE060000}"/>
    <cellStyle name="Separador de milhares 13 2 4 3 2" xfId="5008" xr:uid="{00000000-0005-0000-0000-0000DF060000}"/>
    <cellStyle name="Separador de milhares 13 2 4 4" xfId="3499" xr:uid="{00000000-0005-0000-0000-0000E0060000}"/>
    <cellStyle name="Separador de milhares 13 2 5" xfId="1233" xr:uid="{00000000-0005-0000-0000-0000E1060000}"/>
    <cellStyle name="Separador de milhares 13 2 5 2" xfId="2562" xr:uid="{00000000-0005-0000-0000-0000E2060000}"/>
    <cellStyle name="Separador de milhares 13 2 5 2 2" xfId="5258" xr:uid="{00000000-0005-0000-0000-0000E3060000}"/>
    <cellStyle name="Separador de milhares 13 2 5 3" xfId="3929" xr:uid="{00000000-0005-0000-0000-0000E4060000}"/>
    <cellStyle name="Separador de milhares 13 2 6" xfId="2062" xr:uid="{00000000-0005-0000-0000-0000E5060000}"/>
    <cellStyle name="Separador de milhares 13 2 6 2" xfId="4758" xr:uid="{00000000-0005-0000-0000-0000E6060000}"/>
    <cellStyle name="Separador de milhares 13 2 7" xfId="3162" xr:uid="{00000000-0005-0000-0000-0000E7060000}"/>
    <cellStyle name="Separador de milhares 13 3" xfId="2007" xr:uid="{00000000-0005-0000-0000-0000E8060000}"/>
    <cellStyle name="Separador de milhares 13 3 2" xfId="4703" xr:uid="{00000000-0005-0000-0000-0000E9060000}"/>
    <cellStyle name="Separador de milhares 13 4" xfId="3106" xr:uid="{00000000-0005-0000-0000-0000EA060000}"/>
    <cellStyle name="Separador de milhares 14" xfId="150" xr:uid="{00000000-0005-0000-0000-0000EB060000}"/>
    <cellStyle name="Separador de milhares 15" xfId="338" xr:uid="{00000000-0005-0000-0000-0000EC060000}"/>
    <cellStyle name="Separador de milhares 16" xfId="339" xr:uid="{00000000-0005-0000-0000-0000ED060000}"/>
    <cellStyle name="Separador de milhares 17" xfId="340" xr:uid="{00000000-0005-0000-0000-0000EE060000}"/>
    <cellStyle name="Separador de milhares 18" xfId="341" xr:uid="{00000000-0005-0000-0000-0000EF060000}"/>
    <cellStyle name="Separador de milhares 19" xfId="342" xr:uid="{00000000-0005-0000-0000-0000F0060000}"/>
    <cellStyle name="Separador de milhares 2" xfId="4" xr:uid="{00000000-0005-0000-0000-0000F1060000}"/>
    <cellStyle name="Separador de milhares 2 10" xfId="343" xr:uid="{00000000-0005-0000-0000-0000F2060000}"/>
    <cellStyle name="Separador de milhares 2 11" xfId="344" xr:uid="{00000000-0005-0000-0000-0000F3060000}"/>
    <cellStyle name="Separador de milhares 2 12" xfId="345" xr:uid="{00000000-0005-0000-0000-0000F4060000}"/>
    <cellStyle name="Separador de milhares 2 13" xfId="346" xr:uid="{00000000-0005-0000-0000-0000F5060000}"/>
    <cellStyle name="Separador de milhares 2 14" xfId="347" xr:uid="{00000000-0005-0000-0000-0000F6060000}"/>
    <cellStyle name="Separador de milhares 2 15" xfId="348" xr:uid="{00000000-0005-0000-0000-0000F7060000}"/>
    <cellStyle name="Separador de milhares 2 16" xfId="349" xr:uid="{00000000-0005-0000-0000-0000F8060000}"/>
    <cellStyle name="Separador de milhares 2 17" xfId="350" xr:uid="{00000000-0005-0000-0000-0000F9060000}"/>
    <cellStyle name="Separador de milhares 2 18" xfId="351" xr:uid="{00000000-0005-0000-0000-0000FA060000}"/>
    <cellStyle name="Separador de milhares 2 19" xfId="352" xr:uid="{00000000-0005-0000-0000-0000FB060000}"/>
    <cellStyle name="Separador de milhares 2 2" xfId="63" xr:uid="{00000000-0005-0000-0000-0000FC060000}"/>
    <cellStyle name="Separador de milhares 2 2 10" xfId="353" xr:uid="{00000000-0005-0000-0000-0000FD060000}"/>
    <cellStyle name="Separador de milhares 2 2 11" xfId="443" xr:uid="{00000000-0005-0000-0000-0000FE060000}"/>
    <cellStyle name="Separador de milhares 2 2 11 2" xfId="507" xr:uid="{00000000-0005-0000-0000-0000FF060000}"/>
    <cellStyle name="Separador de milhares 2 2 11 2 2" xfId="681" xr:uid="{00000000-0005-0000-0000-000000070000}"/>
    <cellStyle name="Separador de milhares 2 2 11 2 2 2" xfId="1018" xr:uid="{00000000-0005-0000-0000-000001070000}"/>
    <cellStyle name="Separador de milhares 2 2 11 2 2 2 2" xfId="1785" xr:uid="{00000000-0005-0000-0000-000002070000}"/>
    <cellStyle name="Separador de milhares 2 2 11 2 2 2 2 2" xfId="2978" xr:uid="{00000000-0005-0000-0000-000003070000}"/>
    <cellStyle name="Separador de milhares 2 2 11 2 2 2 2 2 2" xfId="5674" xr:uid="{00000000-0005-0000-0000-000004070000}"/>
    <cellStyle name="Separador de milhares 2 2 11 2 2 2 2 3" xfId="4481" xr:uid="{00000000-0005-0000-0000-000005070000}"/>
    <cellStyle name="Separador de milhares 2 2 11 2 2 2 3" xfId="2478" xr:uid="{00000000-0005-0000-0000-000006070000}"/>
    <cellStyle name="Separador de milhares 2 2 11 2 2 2 3 2" xfId="5174" xr:uid="{00000000-0005-0000-0000-000007070000}"/>
    <cellStyle name="Separador de milhares 2 2 11 2 2 2 4" xfId="3715" xr:uid="{00000000-0005-0000-0000-000008070000}"/>
    <cellStyle name="Separador de milhares 2 2 11 2 2 3" xfId="1448" xr:uid="{00000000-0005-0000-0000-000009070000}"/>
    <cellStyle name="Separador de milhares 2 2 11 2 2 3 2" xfId="2728" xr:uid="{00000000-0005-0000-0000-00000A070000}"/>
    <cellStyle name="Separador de milhares 2 2 11 2 2 3 2 2" xfId="5424" xr:uid="{00000000-0005-0000-0000-00000B070000}"/>
    <cellStyle name="Separador de milhares 2 2 11 2 2 3 3" xfId="4144" xr:uid="{00000000-0005-0000-0000-00000C070000}"/>
    <cellStyle name="Separador de milhares 2 2 11 2 2 4" xfId="2228" xr:uid="{00000000-0005-0000-0000-00000D070000}"/>
    <cellStyle name="Separador de milhares 2 2 11 2 2 4 2" xfId="4924" xr:uid="{00000000-0005-0000-0000-00000E070000}"/>
    <cellStyle name="Separador de milhares 2 2 11 2 2 5" xfId="3378" xr:uid="{00000000-0005-0000-0000-00000F070000}"/>
    <cellStyle name="Separador de milhares 2 2 11 2 3" xfId="845" xr:uid="{00000000-0005-0000-0000-000010070000}"/>
    <cellStyle name="Separador de milhares 2 2 11 2 3 2" xfId="1612" xr:uid="{00000000-0005-0000-0000-000011070000}"/>
    <cellStyle name="Separador de milhares 2 2 11 2 3 2 2" xfId="2853" xr:uid="{00000000-0005-0000-0000-000012070000}"/>
    <cellStyle name="Separador de milhares 2 2 11 2 3 2 2 2" xfId="5549" xr:uid="{00000000-0005-0000-0000-000013070000}"/>
    <cellStyle name="Separador de milhares 2 2 11 2 3 2 3" xfId="4308" xr:uid="{00000000-0005-0000-0000-000014070000}"/>
    <cellStyle name="Separador de milhares 2 2 11 2 3 3" xfId="2353" xr:uid="{00000000-0005-0000-0000-000015070000}"/>
    <cellStyle name="Separador de milhares 2 2 11 2 3 3 2" xfId="5049" xr:uid="{00000000-0005-0000-0000-000016070000}"/>
    <cellStyle name="Separador de milhares 2 2 11 2 3 4" xfId="3542" xr:uid="{00000000-0005-0000-0000-000017070000}"/>
    <cellStyle name="Separador de milhares 2 2 11 2 4" xfId="1275" xr:uid="{00000000-0005-0000-0000-000018070000}"/>
    <cellStyle name="Separador de milhares 2 2 11 2 4 2" xfId="2603" xr:uid="{00000000-0005-0000-0000-000019070000}"/>
    <cellStyle name="Separador de milhares 2 2 11 2 4 2 2" xfId="5299" xr:uid="{00000000-0005-0000-0000-00001A070000}"/>
    <cellStyle name="Separador de milhares 2 2 11 2 4 3" xfId="3971" xr:uid="{00000000-0005-0000-0000-00001B070000}"/>
    <cellStyle name="Separador de milhares 2 2 11 2 5" xfId="2103" xr:uid="{00000000-0005-0000-0000-00001C070000}"/>
    <cellStyle name="Separador de milhares 2 2 11 2 5 2" xfId="4799" xr:uid="{00000000-0005-0000-0000-00001D070000}"/>
    <cellStyle name="Separador de milhares 2 2 11 2 6" xfId="3205" xr:uid="{00000000-0005-0000-0000-00001E070000}"/>
    <cellStyle name="Separador de milhares 2 2 11 3" xfId="618" xr:uid="{00000000-0005-0000-0000-00001F070000}"/>
    <cellStyle name="Separador de milhares 2 2 11 3 2" xfId="955" xr:uid="{00000000-0005-0000-0000-000020070000}"/>
    <cellStyle name="Separador de milhares 2 2 11 3 2 2" xfId="1722" xr:uid="{00000000-0005-0000-0000-000021070000}"/>
    <cellStyle name="Separador de milhares 2 2 11 3 2 2 2" xfId="2916" xr:uid="{00000000-0005-0000-0000-000022070000}"/>
    <cellStyle name="Separador de milhares 2 2 11 3 2 2 2 2" xfId="5612" xr:uid="{00000000-0005-0000-0000-000023070000}"/>
    <cellStyle name="Separador de milhares 2 2 11 3 2 2 3" xfId="4418" xr:uid="{00000000-0005-0000-0000-000024070000}"/>
    <cellStyle name="Separador de milhares 2 2 11 3 2 3" xfId="2416" xr:uid="{00000000-0005-0000-0000-000025070000}"/>
    <cellStyle name="Separador de milhares 2 2 11 3 2 3 2" xfId="5112" xr:uid="{00000000-0005-0000-0000-000026070000}"/>
    <cellStyle name="Separador de milhares 2 2 11 3 2 4" xfId="3652" xr:uid="{00000000-0005-0000-0000-000027070000}"/>
    <cellStyle name="Separador de milhares 2 2 11 3 3" xfId="1385" xr:uid="{00000000-0005-0000-0000-000028070000}"/>
    <cellStyle name="Separador de milhares 2 2 11 3 3 2" xfId="2666" xr:uid="{00000000-0005-0000-0000-000029070000}"/>
    <cellStyle name="Separador de milhares 2 2 11 3 3 2 2" xfId="5362" xr:uid="{00000000-0005-0000-0000-00002A070000}"/>
    <cellStyle name="Separador de milhares 2 2 11 3 3 3" xfId="4081" xr:uid="{00000000-0005-0000-0000-00002B070000}"/>
    <cellStyle name="Separador de milhares 2 2 11 3 4" xfId="2166" xr:uid="{00000000-0005-0000-0000-00002C070000}"/>
    <cellStyle name="Separador de milhares 2 2 11 3 4 2" xfId="4862" xr:uid="{00000000-0005-0000-0000-00002D070000}"/>
    <cellStyle name="Separador de milhares 2 2 11 3 5" xfId="3315" xr:uid="{00000000-0005-0000-0000-00002E070000}"/>
    <cellStyle name="Separador de milhares 2 2 11 4" xfId="781" xr:uid="{00000000-0005-0000-0000-00002F070000}"/>
    <cellStyle name="Separador de milhares 2 2 11 4 2" xfId="1548" xr:uid="{00000000-0005-0000-0000-000030070000}"/>
    <cellStyle name="Separador de milhares 2 2 11 4 2 2" xfId="2791" xr:uid="{00000000-0005-0000-0000-000031070000}"/>
    <cellStyle name="Separador de milhares 2 2 11 4 2 2 2" xfId="5487" xr:uid="{00000000-0005-0000-0000-000032070000}"/>
    <cellStyle name="Separador de milhares 2 2 11 4 2 3" xfId="4244" xr:uid="{00000000-0005-0000-0000-000033070000}"/>
    <cellStyle name="Separador de milhares 2 2 11 4 3" xfId="2291" xr:uid="{00000000-0005-0000-0000-000034070000}"/>
    <cellStyle name="Separador de milhares 2 2 11 4 3 2" xfId="4987" xr:uid="{00000000-0005-0000-0000-000035070000}"/>
    <cellStyle name="Separador de milhares 2 2 11 4 4" xfId="3478" xr:uid="{00000000-0005-0000-0000-000036070000}"/>
    <cellStyle name="Separador de milhares 2 2 11 5" xfId="1212" xr:uid="{00000000-0005-0000-0000-000037070000}"/>
    <cellStyle name="Separador de milhares 2 2 11 5 2" xfId="2541" xr:uid="{00000000-0005-0000-0000-000038070000}"/>
    <cellStyle name="Separador de milhares 2 2 11 5 2 2" xfId="5237" xr:uid="{00000000-0005-0000-0000-000039070000}"/>
    <cellStyle name="Separador de milhares 2 2 11 5 3" xfId="3908" xr:uid="{00000000-0005-0000-0000-00003A070000}"/>
    <cellStyle name="Separador de milhares 2 2 11 6" xfId="2042" xr:uid="{00000000-0005-0000-0000-00003B070000}"/>
    <cellStyle name="Separador de milhares 2 2 11 6 2" xfId="4738" xr:uid="{00000000-0005-0000-0000-00003C070000}"/>
    <cellStyle name="Separador de milhares 2 2 11 7" xfId="3142" xr:uid="{00000000-0005-0000-0000-00003D070000}"/>
    <cellStyle name="Separador de milhares 2 2 12" xfId="151" xr:uid="{00000000-0005-0000-0000-00003E070000}"/>
    <cellStyle name="Separador de milhares 2 2 12 2" xfId="1988" xr:uid="{00000000-0005-0000-0000-00003F070000}"/>
    <cellStyle name="Separador de milhares 2 2 12 2 2" xfId="4684" xr:uid="{00000000-0005-0000-0000-000040070000}"/>
    <cellStyle name="Separador de milhares 2 2 12 3" xfId="3081" xr:uid="{00000000-0005-0000-0000-000041070000}"/>
    <cellStyle name="Separador de milhares 2 2 13" xfId="1975" xr:uid="{00000000-0005-0000-0000-000042070000}"/>
    <cellStyle name="Separador de milhares 2 2 13 2" xfId="4671" xr:uid="{00000000-0005-0000-0000-000043070000}"/>
    <cellStyle name="Separador de milhares 2 2 14" xfId="3066" xr:uid="{00000000-0005-0000-0000-000044070000}"/>
    <cellStyle name="Separador de milhares 2 2 2" xfId="244" xr:uid="{00000000-0005-0000-0000-000045070000}"/>
    <cellStyle name="Separador de milhares 2 2 2 2" xfId="455" xr:uid="{00000000-0005-0000-0000-000046070000}"/>
    <cellStyle name="Separador de milhares 2 2 2 2 2" xfId="520" xr:uid="{00000000-0005-0000-0000-000047070000}"/>
    <cellStyle name="Separador de milhares 2 2 2 2 2 2" xfId="694" xr:uid="{00000000-0005-0000-0000-000048070000}"/>
    <cellStyle name="Separador de milhares 2 2 2 2 2 2 2" xfId="1031" xr:uid="{00000000-0005-0000-0000-000049070000}"/>
    <cellStyle name="Separador de milhares 2 2 2 2 2 2 2 2" xfId="1798" xr:uid="{00000000-0005-0000-0000-00004A070000}"/>
    <cellStyle name="Separador de milhares 2 2 2 2 2 2 2 2 2" xfId="2991" xr:uid="{00000000-0005-0000-0000-00004B070000}"/>
    <cellStyle name="Separador de milhares 2 2 2 2 2 2 2 2 2 2" xfId="5687" xr:uid="{00000000-0005-0000-0000-00004C070000}"/>
    <cellStyle name="Separador de milhares 2 2 2 2 2 2 2 2 3" xfId="4494" xr:uid="{00000000-0005-0000-0000-00004D070000}"/>
    <cellStyle name="Separador de milhares 2 2 2 2 2 2 2 3" xfId="2491" xr:uid="{00000000-0005-0000-0000-00004E070000}"/>
    <cellStyle name="Separador de milhares 2 2 2 2 2 2 2 3 2" xfId="5187" xr:uid="{00000000-0005-0000-0000-00004F070000}"/>
    <cellStyle name="Separador de milhares 2 2 2 2 2 2 2 4" xfId="3728" xr:uid="{00000000-0005-0000-0000-000050070000}"/>
    <cellStyle name="Separador de milhares 2 2 2 2 2 2 3" xfId="1461" xr:uid="{00000000-0005-0000-0000-000051070000}"/>
    <cellStyle name="Separador de milhares 2 2 2 2 2 2 3 2" xfId="2741" xr:uid="{00000000-0005-0000-0000-000052070000}"/>
    <cellStyle name="Separador de milhares 2 2 2 2 2 2 3 2 2" xfId="5437" xr:uid="{00000000-0005-0000-0000-000053070000}"/>
    <cellStyle name="Separador de milhares 2 2 2 2 2 2 3 3" xfId="4157" xr:uid="{00000000-0005-0000-0000-000054070000}"/>
    <cellStyle name="Separador de milhares 2 2 2 2 2 2 4" xfId="2241" xr:uid="{00000000-0005-0000-0000-000055070000}"/>
    <cellStyle name="Separador de milhares 2 2 2 2 2 2 4 2" xfId="4937" xr:uid="{00000000-0005-0000-0000-000056070000}"/>
    <cellStyle name="Separador de milhares 2 2 2 2 2 2 5" xfId="3391" xr:uid="{00000000-0005-0000-0000-000057070000}"/>
    <cellStyle name="Separador de milhares 2 2 2 2 2 3" xfId="858" xr:uid="{00000000-0005-0000-0000-000058070000}"/>
    <cellStyle name="Separador de milhares 2 2 2 2 2 3 2" xfId="1625" xr:uid="{00000000-0005-0000-0000-000059070000}"/>
    <cellStyle name="Separador de milhares 2 2 2 2 2 3 2 2" xfId="2866" xr:uid="{00000000-0005-0000-0000-00005A070000}"/>
    <cellStyle name="Separador de milhares 2 2 2 2 2 3 2 2 2" xfId="5562" xr:uid="{00000000-0005-0000-0000-00005B070000}"/>
    <cellStyle name="Separador de milhares 2 2 2 2 2 3 2 3" xfId="4321" xr:uid="{00000000-0005-0000-0000-00005C070000}"/>
    <cellStyle name="Separador de milhares 2 2 2 2 2 3 3" xfId="2366" xr:uid="{00000000-0005-0000-0000-00005D070000}"/>
    <cellStyle name="Separador de milhares 2 2 2 2 2 3 3 2" xfId="5062" xr:uid="{00000000-0005-0000-0000-00005E070000}"/>
    <cellStyle name="Separador de milhares 2 2 2 2 2 3 4" xfId="3555" xr:uid="{00000000-0005-0000-0000-00005F070000}"/>
    <cellStyle name="Separador de milhares 2 2 2 2 2 4" xfId="1288" xr:uid="{00000000-0005-0000-0000-000060070000}"/>
    <cellStyle name="Separador de milhares 2 2 2 2 2 4 2" xfId="2616" xr:uid="{00000000-0005-0000-0000-000061070000}"/>
    <cellStyle name="Separador de milhares 2 2 2 2 2 4 2 2" xfId="5312" xr:uid="{00000000-0005-0000-0000-000062070000}"/>
    <cellStyle name="Separador de milhares 2 2 2 2 2 4 3" xfId="3984" xr:uid="{00000000-0005-0000-0000-000063070000}"/>
    <cellStyle name="Separador de milhares 2 2 2 2 2 5" xfId="2116" xr:uid="{00000000-0005-0000-0000-000064070000}"/>
    <cellStyle name="Separador de milhares 2 2 2 2 2 5 2" xfId="4812" xr:uid="{00000000-0005-0000-0000-000065070000}"/>
    <cellStyle name="Separador de milhares 2 2 2 2 2 6" xfId="3218" xr:uid="{00000000-0005-0000-0000-000066070000}"/>
    <cellStyle name="Separador de milhares 2 2 2 2 3" xfId="631" xr:uid="{00000000-0005-0000-0000-000067070000}"/>
    <cellStyle name="Separador de milhares 2 2 2 2 3 2" xfId="968" xr:uid="{00000000-0005-0000-0000-000068070000}"/>
    <cellStyle name="Separador de milhares 2 2 2 2 3 2 2" xfId="1735" xr:uid="{00000000-0005-0000-0000-000069070000}"/>
    <cellStyle name="Separador de milhares 2 2 2 2 3 2 2 2" xfId="2929" xr:uid="{00000000-0005-0000-0000-00006A070000}"/>
    <cellStyle name="Separador de milhares 2 2 2 2 3 2 2 2 2" xfId="5625" xr:uid="{00000000-0005-0000-0000-00006B070000}"/>
    <cellStyle name="Separador de milhares 2 2 2 2 3 2 2 3" xfId="4431" xr:uid="{00000000-0005-0000-0000-00006C070000}"/>
    <cellStyle name="Separador de milhares 2 2 2 2 3 2 3" xfId="2429" xr:uid="{00000000-0005-0000-0000-00006D070000}"/>
    <cellStyle name="Separador de milhares 2 2 2 2 3 2 3 2" xfId="5125" xr:uid="{00000000-0005-0000-0000-00006E070000}"/>
    <cellStyle name="Separador de milhares 2 2 2 2 3 2 4" xfId="3665" xr:uid="{00000000-0005-0000-0000-00006F070000}"/>
    <cellStyle name="Separador de milhares 2 2 2 2 3 3" xfId="1398" xr:uid="{00000000-0005-0000-0000-000070070000}"/>
    <cellStyle name="Separador de milhares 2 2 2 2 3 3 2" xfId="2679" xr:uid="{00000000-0005-0000-0000-000071070000}"/>
    <cellStyle name="Separador de milhares 2 2 2 2 3 3 2 2" xfId="5375" xr:uid="{00000000-0005-0000-0000-000072070000}"/>
    <cellStyle name="Separador de milhares 2 2 2 2 3 3 3" xfId="4094" xr:uid="{00000000-0005-0000-0000-000073070000}"/>
    <cellStyle name="Separador de milhares 2 2 2 2 3 4" xfId="2179" xr:uid="{00000000-0005-0000-0000-000074070000}"/>
    <cellStyle name="Separador de milhares 2 2 2 2 3 4 2" xfId="4875" xr:uid="{00000000-0005-0000-0000-000075070000}"/>
    <cellStyle name="Separador de milhares 2 2 2 2 3 5" xfId="3328" xr:uid="{00000000-0005-0000-0000-000076070000}"/>
    <cellStyle name="Separador de milhares 2 2 2 2 4" xfId="794" xr:uid="{00000000-0005-0000-0000-000077070000}"/>
    <cellStyle name="Separador de milhares 2 2 2 2 4 2" xfId="1561" xr:uid="{00000000-0005-0000-0000-000078070000}"/>
    <cellStyle name="Separador de milhares 2 2 2 2 4 2 2" xfId="2804" xr:uid="{00000000-0005-0000-0000-000079070000}"/>
    <cellStyle name="Separador de milhares 2 2 2 2 4 2 2 2" xfId="5500" xr:uid="{00000000-0005-0000-0000-00007A070000}"/>
    <cellStyle name="Separador de milhares 2 2 2 2 4 2 3" xfId="4257" xr:uid="{00000000-0005-0000-0000-00007B070000}"/>
    <cellStyle name="Separador de milhares 2 2 2 2 4 3" xfId="2304" xr:uid="{00000000-0005-0000-0000-00007C070000}"/>
    <cellStyle name="Separador de milhares 2 2 2 2 4 3 2" xfId="5000" xr:uid="{00000000-0005-0000-0000-00007D070000}"/>
    <cellStyle name="Separador de milhares 2 2 2 2 4 4" xfId="3491" xr:uid="{00000000-0005-0000-0000-00007E070000}"/>
    <cellStyle name="Separador de milhares 2 2 2 2 5" xfId="1225" xr:uid="{00000000-0005-0000-0000-00007F070000}"/>
    <cellStyle name="Separador de milhares 2 2 2 2 5 2" xfId="2554" xr:uid="{00000000-0005-0000-0000-000080070000}"/>
    <cellStyle name="Separador de milhares 2 2 2 2 5 2 2" xfId="5250" xr:uid="{00000000-0005-0000-0000-000081070000}"/>
    <cellStyle name="Separador de milhares 2 2 2 2 5 3" xfId="3921" xr:uid="{00000000-0005-0000-0000-000082070000}"/>
    <cellStyle name="Separador de milhares 2 2 2 2 6" xfId="2054" xr:uid="{00000000-0005-0000-0000-000083070000}"/>
    <cellStyle name="Separador de milhares 2 2 2 2 6 2" xfId="4750" xr:uid="{00000000-0005-0000-0000-000084070000}"/>
    <cellStyle name="Separador de milhares 2 2 2 2 7" xfId="3154" xr:uid="{00000000-0005-0000-0000-000085070000}"/>
    <cellStyle name="Separador de milhares 2 2 2 3" xfId="1998" xr:uid="{00000000-0005-0000-0000-000086070000}"/>
    <cellStyle name="Separador de milhares 2 2 2 3 2" xfId="4694" xr:uid="{00000000-0005-0000-0000-000087070000}"/>
    <cellStyle name="Separador de milhares 2 2 2 4" xfId="3096" xr:uid="{00000000-0005-0000-0000-000088070000}"/>
    <cellStyle name="Separador de milhares 2 2 3" xfId="354" xr:uid="{00000000-0005-0000-0000-000089070000}"/>
    <cellStyle name="Separador de milhares 2 2 4" xfId="355" xr:uid="{00000000-0005-0000-0000-00008A070000}"/>
    <cellStyle name="Separador de milhares 2 2 5" xfId="356" xr:uid="{00000000-0005-0000-0000-00008B070000}"/>
    <cellStyle name="Separador de milhares 2 2 6" xfId="357" xr:uid="{00000000-0005-0000-0000-00008C070000}"/>
    <cellStyle name="Separador de milhares 2 2 6 2" xfId="358" xr:uid="{00000000-0005-0000-0000-00008D070000}"/>
    <cellStyle name="Separador de milhares 2 2 6 3" xfId="464" xr:uid="{00000000-0005-0000-0000-00008E070000}"/>
    <cellStyle name="Separador de milhares 2 2 6 3 2" xfId="529" xr:uid="{00000000-0005-0000-0000-00008F070000}"/>
    <cellStyle name="Separador de milhares 2 2 6 3 2 2" xfId="703" xr:uid="{00000000-0005-0000-0000-000090070000}"/>
    <cellStyle name="Separador de milhares 2 2 6 3 2 2 2" xfId="1040" xr:uid="{00000000-0005-0000-0000-000091070000}"/>
    <cellStyle name="Separador de milhares 2 2 6 3 2 2 2 2" xfId="1807" xr:uid="{00000000-0005-0000-0000-000092070000}"/>
    <cellStyle name="Separador de milhares 2 2 6 3 2 2 2 2 2" xfId="3000" xr:uid="{00000000-0005-0000-0000-000093070000}"/>
    <cellStyle name="Separador de milhares 2 2 6 3 2 2 2 2 2 2" xfId="5696" xr:uid="{00000000-0005-0000-0000-000094070000}"/>
    <cellStyle name="Separador de milhares 2 2 6 3 2 2 2 2 3" xfId="4503" xr:uid="{00000000-0005-0000-0000-000095070000}"/>
    <cellStyle name="Separador de milhares 2 2 6 3 2 2 2 3" xfId="2500" xr:uid="{00000000-0005-0000-0000-000096070000}"/>
    <cellStyle name="Separador de milhares 2 2 6 3 2 2 2 3 2" xfId="5196" xr:uid="{00000000-0005-0000-0000-000097070000}"/>
    <cellStyle name="Separador de milhares 2 2 6 3 2 2 2 4" xfId="3737" xr:uid="{00000000-0005-0000-0000-000098070000}"/>
    <cellStyle name="Separador de milhares 2 2 6 3 2 2 3" xfId="1470" xr:uid="{00000000-0005-0000-0000-000099070000}"/>
    <cellStyle name="Separador de milhares 2 2 6 3 2 2 3 2" xfId="2750" xr:uid="{00000000-0005-0000-0000-00009A070000}"/>
    <cellStyle name="Separador de milhares 2 2 6 3 2 2 3 2 2" xfId="5446" xr:uid="{00000000-0005-0000-0000-00009B070000}"/>
    <cellStyle name="Separador de milhares 2 2 6 3 2 2 3 3" xfId="4166" xr:uid="{00000000-0005-0000-0000-00009C070000}"/>
    <cellStyle name="Separador de milhares 2 2 6 3 2 2 4" xfId="2250" xr:uid="{00000000-0005-0000-0000-00009D070000}"/>
    <cellStyle name="Separador de milhares 2 2 6 3 2 2 4 2" xfId="4946" xr:uid="{00000000-0005-0000-0000-00009E070000}"/>
    <cellStyle name="Separador de milhares 2 2 6 3 2 2 5" xfId="3400" xr:uid="{00000000-0005-0000-0000-00009F070000}"/>
    <cellStyle name="Separador de milhares 2 2 6 3 2 3" xfId="867" xr:uid="{00000000-0005-0000-0000-0000A0070000}"/>
    <cellStyle name="Separador de milhares 2 2 6 3 2 3 2" xfId="1634" xr:uid="{00000000-0005-0000-0000-0000A1070000}"/>
    <cellStyle name="Separador de milhares 2 2 6 3 2 3 2 2" xfId="2875" xr:uid="{00000000-0005-0000-0000-0000A2070000}"/>
    <cellStyle name="Separador de milhares 2 2 6 3 2 3 2 2 2" xfId="5571" xr:uid="{00000000-0005-0000-0000-0000A3070000}"/>
    <cellStyle name="Separador de milhares 2 2 6 3 2 3 2 3" xfId="4330" xr:uid="{00000000-0005-0000-0000-0000A4070000}"/>
    <cellStyle name="Separador de milhares 2 2 6 3 2 3 3" xfId="2375" xr:uid="{00000000-0005-0000-0000-0000A5070000}"/>
    <cellStyle name="Separador de milhares 2 2 6 3 2 3 3 2" xfId="5071" xr:uid="{00000000-0005-0000-0000-0000A6070000}"/>
    <cellStyle name="Separador de milhares 2 2 6 3 2 3 4" xfId="3564" xr:uid="{00000000-0005-0000-0000-0000A7070000}"/>
    <cellStyle name="Separador de milhares 2 2 6 3 2 4" xfId="1297" xr:uid="{00000000-0005-0000-0000-0000A8070000}"/>
    <cellStyle name="Separador de milhares 2 2 6 3 2 4 2" xfId="2625" xr:uid="{00000000-0005-0000-0000-0000A9070000}"/>
    <cellStyle name="Separador de milhares 2 2 6 3 2 4 2 2" xfId="5321" xr:uid="{00000000-0005-0000-0000-0000AA070000}"/>
    <cellStyle name="Separador de milhares 2 2 6 3 2 4 3" xfId="3993" xr:uid="{00000000-0005-0000-0000-0000AB070000}"/>
    <cellStyle name="Separador de milhares 2 2 6 3 2 5" xfId="2125" xr:uid="{00000000-0005-0000-0000-0000AC070000}"/>
    <cellStyle name="Separador de milhares 2 2 6 3 2 5 2" xfId="4821" xr:uid="{00000000-0005-0000-0000-0000AD070000}"/>
    <cellStyle name="Separador de milhares 2 2 6 3 2 6" xfId="3227" xr:uid="{00000000-0005-0000-0000-0000AE070000}"/>
    <cellStyle name="Separador de milhares 2 2 6 3 3" xfId="640" xr:uid="{00000000-0005-0000-0000-0000AF070000}"/>
    <cellStyle name="Separador de milhares 2 2 6 3 3 2" xfId="977" xr:uid="{00000000-0005-0000-0000-0000B0070000}"/>
    <cellStyle name="Separador de milhares 2 2 6 3 3 2 2" xfId="1744" xr:uid="{00000000-0005-0000-0000-0000B1070000}"/>
    <cellStyle name="Separador de milhares 2 2 6 3 3 2 2 2" xfId="2938" xr:uid="{00000000-0005-0000-0000-0000B2070000}"/>
    <cellStyle name="Separador de milhares 2 2 6 3 3 2 2 2 2" xfId="5634" xr:uid="{00000000-0005-0000-0000-0000B3070000}"/>
    <cellStyle name="Separador de milhares 2 2 6 3 3 2 2 3" xfId="4440" xr:uid="{00000000-0005-0000-0000-0000B4070000}"/>
    <cellStyle name="Separador de milhares 2 2 6 3 3 2 3" xfId="2438" xr:uid="{00000000-0005-0000-0000-0000B5070000}"/>
    <cellStyle name="Separador de milhares 2 2 6 3 3 2 3 2" xfId="5134" xr:uid="{00000000-0005-0000-0000-0000B6070000}"/>
    <cellStyle name="Separador de milhares 2 2 6 3 3 2 4" xfId="3674" xr:uid="{00000000-0005-0000-0000-0000B7070000}"/>
    <cellStyle name="Separador de milhares 2 2 6 3 3 3" xfId="1407" xr:uid="{00000000-0005-0000-0000-0000B8070000}"/>
    <cellStyle name="Separador de milhares 2 2 6 3 3 3 2" xfId="2688" xr:uid="{00000000-0005-0000-0000-0000B9070000}"/>
    <cellStyle name="Separador de milhares 2 2 6 3 3 3 2 2" xfId="5384" xr:uid="{00000000-0005-0000-0000-0000BA070000}"/>
    <cellStyle name="Separador de milhares 2 2 6 3 3 3 3" xfId="4103" xr:uid="{00000000-0005-0000-0000-0000BB070000}"/>
    <cellStyle name="Separador de milhares 2 2 6 3 3 4" xfId="2188" xr:uid="{00000000-0005-0000-0000-0000BC070000}"/>
    <cellStyle name="Separador de milhares 2 2 6 3 3 4 2" xfId="4884" xr:uid="{00000000-0005-0000-0000-0000BD070000}"/>
    <cellStyle name="Separador de milhares 2 2 6 3 3 5" xfId="3337" xr:uid="{00000000-0005-0000-0000-0000BE070000}"/>
    <cellStyle name="Separador de milhares 2 2 6 3 4" xfId="803" xr:uid="{00000000-0005-0000-0000-0000BF070000}"/>
    <cellStyle name="Separador de milhares 2 2 6 3 4 2" xfId="1570" xr:uid="{00000000-0005-0000-0000-0000C0070000}"/>
    <cellStyle name="Separador de milhares 2 2 6 3 4 2 2" xfId="2813" xr:uid="{00000000-0005-0000-0000-0000C1070000}"/>
    <cellStyle name="Separador de milhares 2 2 6 3 4 2 2 2" xfId="5509" xr:uid="{00000000-0005-0000-0000-0000C2070000}"/>
    <cellStyle name="Separador de milhares 2 2 6 3 4 2 3" xfId="4266" xr:uid="{00000000-0005-0000-0000-0000C3070000}"/>
    <cellStyle name="Separador de milhares 2 2 6 3 4 3" xfId="2313" xr:uid="{00000000-0005-0000-0000-0000C4070000}"/>
    <cellStyle name="Separador de milhares 2 2 6 3 4 3 2" xfId="5009" xr:uid="{00000000-0005-0000-0000-0000C5070000}"/>
    <cellStyle name="Separador de milhares 2 2 6 3 4 4" xfId="3500" xr:uid="{00000000-0005-0000-0000-0000C6070000}"/>
    <cellStyle name="Separador de milhares 2 2 6 3 5" xfId="1234" xr:uid="{00000000-0005-0000-0000-0000C7070000}"/>
    <cellStyle name="Separador de milhares 2 2 6 3 5 2" xfId="2563" xr:uid="{00000000-0005-0000-0000-0000C8070000}"/>
    <cellStyle name="Separador de milhares 2 2 6 3 5 2 2" xfId="5259" xr:uid="{00000000-0005-0000-0000-0000C9070000}"/>
    <cellStyle name="Separador de milhares 2 2 6 3 5 3" xfId="3930" xr:uid="{00000000-0005-0000-0000-0000CA070000}"/>
    <cellStyle name="Separador de milhares 2 2 6 3 6" xfId="2063" xr:uid="{00000000-0005-0000-0000-0000CB070000}"/>
    <cellStyle name="Separador de milhares 2 2 6 3 6 2" xfId="4759" xr:uid="{00000000-0005-0000-0000-0000CC070000}"/>
    <cellStyle name="Separador de milhares 2 2 6 3 7" xfId="3163" xr:uid="{00000000-0005-0000-0000-0000CD070000}"/>
    <cellStyle name="Separador de milhares 2 2 6 4" xfId="2008" xr:uid="{00000000-0005-0000-0000-0000CE070000}"/>
    <cellStyle name="Separador de milhares 2 2 6 4 2" xfId="4704" xr:uid="{00000000-0005-0000-0000-0000CF070000}"/>
    <cellStyle name="Separador de milhares 2 2 6 5" xfId="3107" xr:uid="{00000000-0005-0000-0000-0000D0070000}"/>
    <cellStyle name="Separador de milhares 2 2 7" xfId="359" xr:uid="{00000000-0005-0000-0000-0000D1070000}"/>
    <cellStyle name="Separador de milhares 2 2 7 2" xfId="360" xr:uid="{00000000-0005-0000-0000-0000D2070000}"/>
    <cellStyle name="Separador de milhares 2 2 8" xfId="361" xr:uid="{00000000-0005-0000-0000-0000D3070000}"/>
    <cellStyle name="Separador de milhares 2 2 8 2" xfId="465" xr:uid="{00000000-0005-0000-0000-0000D4070000}"/>
    <cellStyle name="Separador de milhares 2 2 8 2 2" xfId="530" xr:uid="{00000000-0005-0000-0000-0000D5070000}"/>
    <cellStyle name="Separador de milhares 2 2 8 2 2 2" xfId="704" xr:uid="{00000000-0005-0000-0000-0000D6070000}"/>
    <cellStyle name="Separador de milhares 2 2 8 2 2 2 2" xfId="1041" xr:uid="{00000000-0005-0000-0000-0000D7070000}"/>
    <cellStyle name="Separador de milhares 2 2 8 2 2 2 2 2" xfId="1808" xr:uid="{00000000-0005-0000-0000-0000D8070000}"/>
    <cellStyle name="Separador de milhares 2 2 8 2 2 2 2 2 2" xfId="3001" xr:uid="{00000000-0005-0000-0000-0000D9070000}"/>
    <cellStyle name="Separador de milhares 2 2 8 2 2 2 2 2 2 2" xfId="5697" xr:uid="{00000000-0005-0000-0000-0000DA070000}"/>
    <cellStyle name="Separador de milhares 2 2 8 2 2 2 2 2 3" xfId="4504" xr:uid="{00000000-0005-0000-0000-0000DB070000}"/>
    <cellStyle name="Separador de milhares 2 2 8 2 2 2 2 3" xfId="2501" xr:uid="{00000000-0005-0000-0000-0000DC070000}"/>
    <cellStyle name="Separador de milhares 2 2 8 2 2 2 2 3 2" xfId="5197" xr:uid="{00000000-0005-0000-0000-0000DD070000}"/>
    <cellStyle name="Separador de milhares 2 2 8 2 2 2 2 4" xfId="3738" xr:uid="{00000000-0005-0000-0000-0000DE070000}"/>
    <cellStyle name="Separador de milhares 2 2 8 2 2 2 3" xfId="1471" xr:uid="{00000000-0005-0000-0000-0000DF070000}"/>
    <cellStyle name="Separador de milhares 2 2 8 2 2 2 3 2" xfId="2751" xr:uid="{00000000-0005-0000-0000-0000E0070000}"/>
    <cellStyle name="Separador de milhares 2 2 8 2 2 2 3 2 2" xfId="5447" xr:uid="{00000000-0005-0000-0000-0000E1070000}"/>
    <cellStyle name="Separador de milhares 2 2 8 2 2 2 3 3" xfId="4167" xr:uid="{00000000-0005-0000-0000-0000E2070000}"/>
    <cellStyle name="Separador de milhares 2 2 8 2 2 2 4" xfId="2251" xr:uid="{00000000-0005-0000-0000-0000E3070000}"/>
    <cellStyle name="Separador de milhares 2 2 8 2 2 2 4 2" xfId="4947" xr:uid="{00000000-0005-0000-0000-0000E4070000}"/>
    <cellStyle name="Separador de milhares 2 2 8 2 2 2 5" xfId="3401" xr:uid="{00000000-0005-0000-0000-0000E5070000}"/>
    <cellStyle name="Separador de milhares 2 2 8 2 2 3" xfId="868" xr:uid="{00000000-0005-0000-0000-0000E6070000}"/>
    <cellStyle name="Separador de milhares 2 2 8 2 2 3 2" xfId="1635" xr:uid="{00000000-0005-0000-0000-0000E7070000}"/>
    <cellStyle name="Separador de milhares 2 2 8 2 2 3 2 2" xfId="2876" xr:uid="{00000000-0005-0000-0000-0000E8070000}"/>
    <cellStyle name="Separador de milhares 2 2 8 2 2 3 2 2 2" xfId="5572" xr:uid="{00000000-0005-0000-0000-0000E9070000}"/>
    <cellStyle name="Separador de milhares 2 2 8 2 2 3 2 3" xfId="4331" xr:uid="{00000000-0005-0000-0000-0000EA070000}"/>
    <cellStyle name="Separador de milhares 2 2 8 2 2 3 3" xfId="2376" xr:uid="{00000000-0005-0000-0000-0000EB070000}"/>
    <cellStyle name="Separador de milhares 2 2 8 2 2 3 3 2" xfId="5072" xr:uid="{00000000-0005-0000-0000-0000EC070000}"/>
    <cellStyle name="Separador de milhares 2 2 8 2 2 3 4" xfId="3565" xr:uid="{00000000-0005-0000-0000-0000ED070000}"/>
    <cellStyle name="Separador de milhares 2 2 8 2 2 4" xfId="1298" xr:uid="{00000000-0005-0000-0000-0000EE070000}"/>
    <cellStyle name="Separador de milhares 2 2 8 2 2 4 2" xfId="2626" xr:uid="{00000000-0005-0000-0000-0000EF070000}"/>
    <cellStyle name="Separador de milhares 2 2 8 2 2 4 2 2" xfId="5322" xr:uid="{00000000-0005-0000-0000-0000F0070000}"/>
    <cellStyle name="Separador de milhares 2 2 8 2 2 4 3" xfId="3994" xr:uid="{00000000-0005-0000-0000-0000F1070000}"/>
    <cellStyle name="Separador de milhares 2 2 8 2 2 5" xfId="2126" xr:uid="{00000000-0005-0000-0000-0000F2070000}"/>
    <cellStyle name="Separador de milhares 2 2 8 2 2 5 2" xfId="4822" xr:uid="{00000000-0005-0000-0000-0000F3070000}"/>
    <cellStyle name="Separador de milhares 2 2 8 2 2 6" xfId="3228" xr:uid="{00000000-0005-0000-0000-0000F4070000}"/>
    <cellStyle name="Separador de milhares 2 2 8 2 3" xfId="641" xr:uid="{00000000-0005-0000-0000-0000F5070000}"/>
    <cellStyle name="Separador de milhares 2 2 8 2 3 2" xfId="978" xr:uid="{00000000-0005-0000-0000-0000F6070000}"/>
    <cellStyle name="Separador de milhares 2 2 8 2 3 2 2" xfId="1745" xr:uid="{00000000-0005-0000-0000-0000F7070000}"/>
    <cellStyle name="Separador de milhares 2 2 8 2 3 2 2 2" xfId="2939" xr:uid="{00000000-0005-0000-0000-0000F8070000}"/>
    <cellStyle name="Separador de milhares 2 2 8 2 3 2 2 2 2" xfId="5635" xr:uid="{00000000-0005-0000-0000-0000F9070000}"/>
    <cellStyle name="Separador de milhares 2 2 8 2 3 2 2 3" xfId="4441" xr:uid="{00000000-0005-0000-0000-0000FA070000}"/>
    <cellStyle name="Separador de milhares 2 2 8 2 3 2 3" xfId="2439" xr:uid="{00000000-0005-0000-0000-0000FB070000}"/>
    <cellStyle name="Separador de milhares 2 2 8 2 3 2 3 2" xfId="5135" xr:uid="{00000000-0005-0000-0000-0000FC070000}"/>
    <cellStyle name="Separador de milhares 2 2 8 2 3 2 4" xfId="3675" xr:uid="{00000000-0005-0000-0000-0000FD070000}"/>
    <cellStyle name="Separador de milhares 2 2 8 2 3 3" xfId="1408" xr:uid="{00000000-0005-0000-0000-0000FE070000}"/>
    <cellStyle name="Separador de milhares 2 2 8 2 3 3 2" xfId="2689" xr:uid="{00000000-0005-0000-0000-0000FF070000}"/>
    <cellStyle name="Separador de milhares 2 2 8 2 3 3 2 2" xfId="5385" xr:uid="{00000000-0005-0000-0000-000000080000}"/>
    <cellStyle name="Separador de milhares 2 2 8 2 3 3 3" xfId="4104" xr:uid="{00000000-0005-0000-0000-000001080000}"/>
    <cellStyle name="Separador de milhares 2 2 8 2 3 4" xfId="2189" xr:uid="{00000000-0005-0000-0000-000002080000}"/>
    <cellStyle name="Separador de milhares 2 2 8 2 3 4 2" xfId="4885" xr:uid="{00000000-0005-0000-0000-000003080000}"/>
    <cellStyle name="Separador de milhares 2 2 8 2 3 5" xfId="3338" xr:uid="{00000000-0005-0000-0000-000004080000}"/>
    <cellStyle name="Separador de milhares 2 2 8 2 4" xfId="804" xr:uid="{00000000-0005-0000-0000-000005080000}"/>
    <cellStyle name="Separador de milhares 2 2 8 2 4 2" xfId="1571" xr:uid="{00000000-0005-0000-0000-000006080000}"/>
    <cellStyle name="Separador de milhares 2 2 8 2 4 2 2" xfId="2814" xr:uid="{00000000-0005-0000-0000-000007080000}"/>
    <cellStyle name="Separador de milhares 2 2 8 2 4 2 2 2" xfId="5510" xr:uid="{00000000-0005-0000-0000-000008080000}"/>
    <cellStyle name="Separador de milhares 2 2 8 2 4 2 3" xfId="4267" xr:uid="{00000000-0005-0000-0000-000009080000}"/>
    <cellStyle name="Separador de milhares 2 2 8 2 4 3" xfId="2314" xr:uid="{00000000-0005-0000-0000-00000A080000}"/>
    <cellStyle name="Separador de milhares 2 2 8 2 4 3 2" xfId="5010" xr:uid="{00000000-0005-0000-0000-00000B080000}"/>
    <cellStyle name="Separador de milhares 2 2 8 2 4 4" xfId="3501" xr:uid="{00000000-0005-0000-0000-00000C080000}"/>
    <cellStyle name="Separador de milhares 2 2 8 2 5" xfId="1235" xr:uid="{00000000-0005-0000-0000-00000D080000}"/>
    <cellStyle name="Separador de milhares 2 2 8 2 5 2" xfId="2564" xr:uid="{00000000-0005-0000-0000-00000E080000}"/>
    <cellStyle name="Separador de milhares 2 2 8 2 5 2 2" xfId="5260" xr:uid="{00000000-0005-0000-0000-00000F080000}"/>
    <cellStyle name="Separador de milhares 2 2 8 2 5 3" xfId="3931" xr:uid="{00000000-0005-0000-0000-000010080000}"/>
    <cellStyle name="Separador de milhares 2 2 8 2 6" xfId="2064" xr:uid="{00000000-0005-0000-0000-000011080000}"/>
    <cellStyle name="Separador de milhares 2 2 8 2 6 2" xfId="4760" xr:uid="{00000000-0005-0000-0000-000012080000}"/>
    <cellStyle name="Separador de milhares 2 2 8 2 7" xfId="3164" xr:uid="{00000000-0005-0000-0000-000013080000}"/>
    <cellStyle name="Separador de milhares 2 2 8 3" xfId="2009" xr:uid="{00000000-0005-0000-0000-000014080000}"/>
    <cellStyle name="Separador de milhares 2 2 8 3 2" xfId="4705" xr:uid="{00000000-0005-0000-0000-000015080000}"/>
    <cellStyle name="Separador de milhares 2 2 8 4" xfId="3108" xr:uid="{00000000-0005-0000-0000-000016080000}"/>
    <cellStyle name="Separador de milhares 2 2 9" xfId="362" xr:uid="{00000000-0005-0000-0000-000017080000}"/>
    <cellStyle name="Separador de milhares 2 2_14ª MED. TY" xfId="363" xr:uid="{00000000-0005-0000-0000-000018080000}"/>
    <cellStyle name="Separador de milhares 2 20" xfId="364" xr:uid="{00000000-0005-0000-0000-000019080000}"/>
    <cellStyle name="Separador de milhares 2 21" xfId="365" xr:uid="{00000000-0005-0000-0000-00001A080000}"/>
    <cellStyle name="Separador de milhares 2 22" xfId="366" xr:uid="{00000000-0005-0000-0000-00001B080000}"/>
    <cellStyle name="Separador de milhares 2 23" xfId="367" xr:uid="{00000000-0005-0000-0000-00001C080000}"/>
    <cellStyle name="Separador de milhares 2 24" xfId="368" xr:uid="{00000000-0005-0000-0000-00001D080000}"/>
    <cellStyle name="Separador de milhares 2 25" xfId="369" xr:uid="{00000000-0005-0000-0000-00001E080000}"/>
    <cellStyle name="Separador de milhares 2 26" xfId="370" xr:uid="{00000000-0005-0000-0000-00001F080000}"/>
    <cellStyle name="Separador de milhares 2 27" xfId="371" xr:uid="{00000000-0005-0000-0000-000020080000}"/>
    <cellStyle name="Separador de milhares 2 28" xfId="372" xr:uid="{00000000-0005-0000-0000-000021080000}"/>
    <cellStyle name="Separador de milhares 2 29" xfId="373" xr:uid="{00000000-0005-0000-0000-000022080000}"/>
    <cellStyle name="Separador de milhares 2 3" xfId="95" xr:uid="{00000000-0005-0000-0000-000023080000}"/>
    <cellStyle name="Separador de milhares 2 3 10" xfId="3074" xr:uid="{00000000-0005-0000-0000-000024080000}"/>
    <cellStyle name="Separador de milhares 2 3 2" xfId="374" xr:uid="{00000000-0005-0000-0000-000025080000}"/>
    <cellStyle name="Separador de milhares 2 3 2 2" xfId="466" xr:uid="{00000000-0005-0000-0000-000026080000}"/>
    <cellStyle name="Separador de milhares 2 3 2 2 2" xfId="531" xr:uid="{00000000-0005-0000-0000-000027080000}"/>
    <cellStyle name="Separador de milhares 2 3 2 2 2 2" xfId="705" xr:uid="{00000000-0005-0000-0000-000028080000}"/>
    <cellStyle name="Separador de milhares 2 3 2 2 2 2 2" xfId="1042" xr:uid="{00000000-0005-0000-0000-000029080000}"/>
    <cellStyle name="Separador de milhares 2 3 2 2 2 2 2 2" xfId="1809" xr:uid="{00000000-0005-0000-0000-00002A080000}"/>
    <cellStyle name="Separador de milhares 2 3 2 2 2 2 2 2 2" xfId="3002" xr:uid="{00000000-0005-0000-0000-00002B080000}"/>
    <cellStyle name="Separador de milhares 2 3 2 2 2 2 2 2 2 2" xfId="5698" xr:uid="{00000000-0005-0000-0000-00002C080000}"/>
    <cellStyle name="Separador de milhares 2 3 2 2 2 2 2 2 3" xfId="4505" xr:uid="{00000000-0005-0000-0000-00002D080000}"/>
    <cellStyle name="Separador de milhares 2 3 2 2 2 2 2 3" xfId="2502" xr:uid="{00000000-0005-0000-0000-00002E080000}"/>
    <cellStyle name="Separador de milhares 2 3 2 2 2 2 2 3 2" xfId="5198" xr:uid="{00000000-0005-0000-0000-00002F080000}"/>
    <cellStyle name="Separador de milhares 2 3 2 2 2 2 2 4" xfId="3739" xr:uid="{00000000-0005-0000-0000-000030080000}"/>
    <cellStyle name="Separador de milhares 2 3 2 2 2 2 3" xfId="1472" xr:uid="{00000000-0005-0000-0000-000031080000}"/>
    <cellStyle name="Separador de milhares 2 3 2 2 2 2 3 2" xfId="2752" xr:uid="{00000000-0005-0000-0000-000032080000}"/>
    <cellStyle name="Separador de milhares 2 3 2 2 2 2 3 2 2" xfId="5448" xr:uid="{00000000-0005-0000-0000-000033080000}"/>
    <cellStyle name="Separador de milhares 2 3 2 2 2 2 3 3" xfId="4168" xr:uid="{00000000-0005-0000-0000-000034080000}"/>
    <cellStyle name="Separador de milhares 2 3 2 2 2 2 4" xfId="2252" xr:uid="{00000000-0005-0000-0000-000035080000}"/>
    <cellStyle name="Separador de milhares 2 3 2 2 2 2 4 2" xfId="4948" xr:uid="{00000000-0005-0000-0000-000036080000}"/>
    <cellStyle name="Separador de milhares 2 3 2 2 2 2 5" xfId="3402" xr:uid="{00000000-0005-0000-0000-000037080000}"/>
    <cellStyle name="Separador de milhares 2 3 2 2 2 3" xfId="869" xr:uid="{00000000-0005-0000-0000-000038080000}"/>
    <cellStyle name="Separador de milhares 2 3 2 2 2 3 2" xfId="1636" xr:uid="{00000000-0005-0000-0000-000039080000}"/>
    <cellStyle name="Separador de milhares 2 3 2 2 2 3 2 2" xfId="2877" xr:uid="{00000000-0005-0000-0000-00003A080000}"/>
    <cellStyle name="Separador de milhares 2 3 2 2 2 3 2 2 2" xfId="5573" xr:uid="{00000000-0005-0000-0000-00003B080000}"/>
    <cellStyle name="Separador de milhares 2 3 2 2 2 3 2 3" xfId="4332" xr:uid="{00000000-0005-0000-0000-00003C080000}"/>
    <cellStyle name="Separador de milhares 2 3 2 2 2 3 3" xfId="2377" xr:uid="{00000000-0005-0000-0000-00003D080000}"/>
    <cellStyle name="Separador de milhares 2 3 2 2 2 3 3 2" xfId="5073" xr:uid="{00000000-0005-0000-0000-00003E080000}"/>
    <cellStyle name="Separador de milhares 2 3 2 2 2 3 4" xfId="3566" xr:uid="{00000000-0005-0000-0000-00003F080000}"/>
    <cellStyle name="Separador de milhares 2 3 2 2 2 4" xfId="1299" xr:uid="{00000000-0005-0000-0000-000040080000}"/>
    <cellStyle name="Separador de milhares 2 3 2 2 2 4 2" xfId="2627" xr:uid="{00000000-0005-0000-0000-000041080000}"/>
    <cellStyle name="Separador de milhares 2 3 2 2 2 4 2 2" xfId="5323" xr:uid="{00000000-0005-0000-0000-000042080000}"/>
    <cellStyle name="Separador de milhares 2 3 2 2 2 4 3" xfId="3995" xr:uid="{00000000-0005-0000-0000-000043080000}"/>
    <cellStyle name="Separador de milhares 2 3 2 2 2 5" xfId="2127" xr:uid="{00000000-0005-0000-0000-000044080000}"/>
    <cellStyle name="Separador de milhares 2 3 2 2 2 5 2" xfId="4823" xr:uid="{00000000-0005-0000-0000-000045080000}"/>
    <cellStyle name="Separador de milhares 2 3 2 2 2 6" xfId="3229" xr:uid="{00000000-0005-0000-0000-000046080000}"/>
    <cellStyle name="Separador de milhares 2 3 2 2 3" xfId="642" xr:uid="{00000000-0005-0000-0000-000047080000}"/>
    <cellStyle name="Separador de milhares 2 3 2 2 3 2" xfId="979" xr:uid="{00000000-0005-0000-0000-000048080000}"/>
    <cellStyle name="Separador de milhares 2 3 2 2 3 2 2" xfId="1746" xr:uid="{00000000-0005-0000-0000-000049080000}"/>
    <cellStyle name="Separador de milhares 2 3 2 2 3 2 2 2" xfId="2940" xr:uid="{00000000-0005-0000-0000-00004A080000}"/>
    <cellStyle name="Separador de milhares 2 3 2 2 3 2 2 2 2" xfId="5636" xr:uid="{00000000-0005-0000-0000-00004B080000}"/>
    <cellStyle name="Separador de milhares 2 3 2 2 3 2 2 3" xfId="4442" xr:uid="{00000000-0005-0000-0000-00004C080000}"/>
    <cellStyle name="Separador de milhares 2 3 2 2 3 2 3" xfId="2440" xr:uid="{00000000-0005-0000-0000-00004D080000}"/>
    <cellStyle name="Separador de milhares 2 3 2 2 3 2 3 2" xfId="5136" xr:uid="{00000000-0005-0000-0000-00004E080000}"/>
    <cellStyle name="Separador de milhares 2 3 2 2 3 2 4" xfId="3676" xr:uid="{00000000-0005-0000-0000-00004F080000}"/>
    <cellStyle name="Separador de milhares 2 3 2 2 3 3" xfId="1409" xr:uid="{00000000-0005-0000-0000-000050080000}"/>
    <cellStyle name="Separador de milhares 2 3 2 2 3 3 2" xfId="2690" xr:uid="{00000000-0005-0000-0000-000051080000}"/>
    <cellStyle name="Separador de milhares 2 3 2 2 3 3 2 2" xfId="5386" xr:uid="{00000000-0005-0000-0000-000052080000}"/>
    <cellStyle name="Separador de milhares 2 3 2 2 3 3 3" xfId="4105" xr:uid="{00000000-0005-0000-0000-000053080000}"/>
    <cellStyle name="Separador de milhares 2 3 2 2 3 4" xfId="2190" xr:uid="{00000000-0005-0000-0000-000054080000}"/>
    <cellStyle name="Separador de milhares 2 3 2 2 3 4 2" xfId="4886" xr:uid="{00000000-0005-0000-0000-000055080000}"/>
    <cellStyle name="Separador de milhares 2 3 2 2 3 5" xfId="3339" xr:uid="{00000000-0005-0000-0000-000056080000}"/>
    <cellStyle name="Separador de milhares 2 3 2 2 4" xfId="805" xr:uid="{00000000-0005-0000-0000-000057080000}"/>
    <cellStyle name="Separador de milhares 2 3 2 2 4 2" xfId="1572" xr:uid="{00000000-0005-0000-0000-000058080000}"/>
    <cellStyle name="Separador de milhares 2 3 2 2 4 2 2" xfId="2815" xr:uid="{00000000-0005-0000-0000-000059080000}"/>
    <cellStyle name="Separador de milhares 2 3 2 2 4 2 2 2" xfId="5511" xr:uid="{00000000-0005-0000-0000-00005A080000}"/>
    <cellStyle name="Separador de milhares 2 3 2 2 4 2 3" xfId="4268" xr:uid="{00000000-0005-0000-0000-00005B080000}"/>
    <cellStyle name="Separador de milhares 2 3 2 2 4 3" xfId="2315" xr:uid="{00000000-0005-0000-0000-00005C080000}"/>
    <cellStyle name="Separador de milhares 2 3 2 2 4 3 2" xfId="5011" xr:uid="{00000000-0005-0000-0000-00005D080000}"/>
    <cellStyle name="Separador de milhares 2 3 2 2 4 4" xfId="3502" xr:uid="{00000000-0005-0000-0000-00005E080000}"/>
    <cellStyle name="Separador de milhares 2 3 2 2 5" xfId="1236" xr:uid="{00000000-0005-0000-0000-00005F080000}"/>
    <cellStyle name="Separador de milhares 2 3 2 2 5 2" xfId="2565" xr:uid="{00000000-0005-0000-0000-000060080000}"/>
    <cellStyle name="Separador de milhares 2 3 2 2 5 2 2" xfId="5261" xr:uid="{00000000-0005-0000-0000-000061080000}"/>
    <cellStyle name="Separador de milhares 2 3 2 2 5 3" xfId="3932" xr:uid="{00000000-0005-0000-0000-000062080000}"/>
    <cellStyle name="Separador de milhares 2 3 2 2 6" xfId="2065" xr:uid="{00000000-0005-0000-0000-000063080000}"/>
    <cellStyle name="Separador de milhares 2 3 2 2 6 2" xfId="4761" xr:uid="{00000000-0005-0000-0000-000064080000}"/>
    <cellStyle name="Separador de milhares 2 3 2 2 7" xfId="3165" xr:uid="{00000000-0005-0000-0000-000065080000}"/>
    <cellStyle name="Separador de milhares 2 3 2 3" xfId="501" xr:uid="{00000000-0005-0000-0000-000066080000}"/>
    <cellStyle name="Separador de milhares 2 3 2 3 2" xfId="676" xr:uid="{00000000-0005-0000-0000-000067080000}"/>
    <cellStyle name="Separador de milhares 2 3 2 3 2 2" xfId="1013" xr:uid="{00000000-0005-0000-0000-000068080000}"/>
    <cellStyle name="Separador de milhares 2 3 2 3 2 2 2" xfId="1780" xr:uid="{00000000-0005-0000-0000-000069080000}"/>
    <cellStyle name="Separador de milhares 2 3 2 3 2 2 2 2" xfId="2973" xr:uid="{00000000-0005-0000-0000-00006A080000}"/>
    <cellStyle name="Separador de milhares 2 3 2 3 2 2 2 2 2" xfId="5669" xr:uid="{00000000-0005-0000-0000-00006B080000}"/>
    <cellStyle name="Separador de milhares 2 3 2 3 2 2 2 3" xfId="4476" xr:uid="{00000000-0005-0000-0000-00006C080000}"/>
    <cellStyle name="Separador de milhares 2 3 2 3 2 2 3" xfId="2473" xr:uid="{00000000-0005-0000-0000-00006D080000}"/>
    <cellStyle name="Separador de milhares 2 3 2 3 2 2 3 2" xfId="5169" xr:uid="{00000000-0005-0000-0000-00006E080000}"/>
    <cellStyle name="Separador de milhares 2 3 2 3 2 2 4" xfId="3710" xr:uid="{00000000-0005-0000-0000-00006F080000}"/>
    <cellStyle name="Separador de milhares 2 3 2 3 2 3" xfId="1443" xr:uid="{00000000-0005-0000-0000-000070080000}"/>
    <cellStyle name="Separador de milhares 2 3 2 3 2 3 2" xfId="2723" xr:uid="{00000000-0005-0000-0000-000071080000}"/>
    <cellStyle name="Separador de milhares 2 3 2 3 2 3 2 2" xfId="5419" xr:uid="{00000000-0005-0000-0000-000072080000}"/>
    <cellStyle name="Separador de milhares 2 3 2 3 2 3 3" xfId="4139" xr:uid="{00000000-0005-0000-0000-000073080000}"/>
    <cellStyle name="Separador de milhares 2 3 2 3 2 4" xfId="2223" xr:uid="{00000000-0005-0000-0000-000074080000}"/>
    <cellStyle name="Separador de milhares 2 3 2 3 2 4 2" xfId="4919" xr:uid="{00000000-0005-0000-0000-000075080000}"/>
    <cellStyle name="Separador de milhares 2 3 2 3 2 5" xfId="3373" xr:uid="{00000000-0005-0000-0000-000076080000}"/>
    <cellStyle name="Separador de milhares 2 3 2 3 3" xfId="839" xr:uid="{00000000-0005-0000-0000-000077080000}"/>
    <cellStyle name="Separador de milhares 2 3 2 3 3 2" xfId="1606" xr:uid="{00000000-0005-0000-0000-000078080000}"/>
    <cellStyle name="Separador de milhares 2 3 2 3 3 2 2" xfId="2848" xr:uid="{00000000-0005-0000-0000-000079080000}"/>
    <cellStyle name="Separador de milhares 2 3 2 3 3 2 2 2" xfId="5544" xr:uid="{00000000-0005-0000-0000-00007A080000}"/>
    <cellStyle name="Separador de milhares 2 3 2 3 3 2 3" xfId="4302" xr:uid="{00000000-0005-0000-0000-00007B080000}"/>
    <cellStyle name="Separador de milhares 2 3 2 3 3 3" xfId="2348" xr:uid="{00000000-0005-0000-0000-00007C080000}"/>
    <cellStyle name="Separador de milhares 2 3 2 3 3 3 2" xfId="5044" xr:uid="{00000000-0005-0000-0000-00007D080000}"/>
    <cellStyle name="Separador de milhares 2 3 2 3 3 4" xfId="3536" xr:uid="{00000000-0005-0000-0000-00007E080000}"/>
    <cellStyle name="Separador de milhares 2 3 2 3 4" xfId="1269" xr:uid="{00000000-0005-0000-0000-00007F080000}"/>
    <cellStyle name="Separador de milhares 2 3 2 3 4 2" xfId="2598" xr:uid="{00000000-0005-0000-0000-000080080000}"/>
    <cellStyle name="Separador de milhares 2 3 2 3 4 2 2" xfId="5294" xr:uid="{00000000-0005-0000-0000-000081080000}"/>
    <cellStyle name="Separador de milhares 2 3 2 3 4 3" xfId="3965" xr:uid="{00000000-0005-0000-0000-000082080000}"/>
    <cellStyle name="Separador de milhares 2 3 2 3 5" xfId="2098" xr:uid="{00000000-0005-0000-0000-000083080000}"/>
    <cellStyle name="Separador de milhares 2 3 2 3 5 2" xfId="4794" xr:uid="{00000000-0005-0000-0000-000084080000}"/>
    <cellStyle name="Separador de milhares 2 3 2 3 6" xfId="3199" xr:uid="{00000000-0005-0000-0000-000085080000}"/>
    <cellStyle name="Separador de milhares 2 3 2 4" xfId="606" xr:uid="{00000000-0005-0000-0000-000086080000}"/>
    <cellStyle name="Separador de milhares 2 3 2 4 2" xfId="943" xr:uid="{00000000-0005-0000-0000-000087080000}"/>
    <cellStyle name="Separador de milhares 2 3 2 4 2 2" xfId="1710" xr:uid="{00000000-0005-0000-0000-000088080000}"/>
    <cellStyle name="Separador de milhares 2 3 2 4 2 2 2" xfId="2911" xr:uid="{00000000-0005-0000-0000-000089080000}"/>
    <cellStyle name="Separador de milhares 2 3 2 4 2 2 2 2" xfId="5607" xr:uid="{00000000-0005-0000-0000-00008A080000}"/>
    <cellStyle name="Separador de milhares 2 3 2 4 2 2 3" xfId="4406" xr:uid="{00000000-0005-0000-0000-00008B080000}"/>
    <cellStyle name="Separador de milhares 2 3 2 4 2 3" xfId="2411" xr:uid="{00000000-0005-0000-0000-00008C080000}"/>
    <cellStyle name="Separador de milhares 2 3 2 4 2 3 2" xfId="5107" xr:uid="{00000000-0005-0000-0000-00008D080000}"/>
    <cellStyle name="Separador de milhares 2 3 2 4 2 4" xfId="3640" xr:uid="{00000000-0005-0000-0000-00008E080000}"/>
    <cellStyle name="Separador de milhares 2 3 2 4 3" xfId="1373" xr:uid="{00000000-0005-0000-0000-00008F080000}"/>
    <cellStyle name="Separador de milhares 2 3 2 4 3 2" xfId="2661" xr:uid="{00000000-0005-0000-0000-000090080000}"/>
    <cellStyle name="Separador de milhares 2 3 2 4 3 2 2" xfId="5357" xr:uid="{00000000-0005-0000-0000-000091080000}"/>
    <cellStyle name="Separador de milhares 2 3 2 4 3 3" xfId="4069" xr:uid="{00000000-0005-0000-0000-000092080000}"/>
    <cellStyle name="Separador de milhares 2 3 2 4 4" xfId="2161" xr:uid="{00000000-0005-0000-0000-000093080000}"/>
    <cellStyle name="Separador de milhares 2 3 2 4 4 2" xfId="4857" xr:uid="{00000000-0005-0000-0000-000094080000}"/>
    <cellStyle name="Separador de milhares 2 3 2 4 5" xfId="3303" xr:uid="{00000000-0005-0000-0000-000095080000}"/>
    <cellStyle name="Separador de milhares 2 3 2 5" xfId="774" xr:uid="{00000000-0005-0000-0000-000096080000}"/>
    <cellStyle name="Separador de milhares 2 3 2 5 2" xfId="1541" xr:uid="{00000000-0005-0000-0000-000097080000}"/>
    <cellStyle name="Separador de milhares 2 3 2 5 2 2" xfId="2786" xr:uid="{00000000-0005-0000-0000-000098080000}"/>
    <cellStyle name="Separador de milhares 2 3 2 5 2 2 2" xfId="5482" xr:uid="{00000000-0005-0000-0000-000099080000}"/>
    <cellStyle name="Separador de milhares 2 3 2 5 2 3" xfId="4237" xr:uid="{00000000-0005-0000-0000-00009A080000}"/>
    <cellStyle name="Separador de milhares 2 3 2 5 3" xfId="2286" xr:uid="{00000000-0005-0000-0000-00009B080000}"/>
    <cellStyle name="Separador de milhares 2 3 2 5 3 2" xfId="4982" xr:uid="{00000000-0005-0000-0000-00009C080000}"/>
    <cellStyle name="Separador de milhares 2 3 2 5 4" xfId="3471" xr:uid="{00000000-0005-0000-0000-00009D080000}"/>
    <cellStyle name="Separador de milhares 2 3 2 6" xfId="1207" xr:uid="{00000000-0005-0000-0000-00009E080000}"/>
    <cellStyle name="Separador de milhares 2 3 2 6 2" xfId="2536" xr:uid="{00000000-0005-0000-0000-00009F080000}"/>
    <cellStyle name="Separador de milhares 2 3 2 6 2 2" xfId="5232" xr:uid="{00000000-0005-0000-0000-0000A0080000}"/>
    <cellStyle name="Separador de milhares 2 3 2 6 3" xfId="3903" xr:uid="{00000000-0005-0000-0000-0000A1080000}"/>
    <cellStyle name="Separador de milhares 2 3 2 7" xfId="2010" xr:uid="{00000000-0005-0000-0000-0000A2080000}"/>
    <cellStyle name="Separador de milhares 2 3 2 7 2" xfId="4706" xr:uid="{00000000-0005-0000-0000-0000A3080000}"/>
    <cellStyle name="Separador de milhares 2 3 2 8" xfId="3109" xr:uid="{00000000-0005-0000-0000-0000A4080000}"/>
    <cellStyle name="Separador de milhares 2 3 3" xfId="451" xr:uid="{00000000-0005-0000-0000-0000A5080000}"/>
    <cellStyle name="Separador de milhares 2 3 3 2" xfId="516" xr:uid="{00000000-0005-0000-0000-0000A6080000}"/>
    <cellStyle name="Separador de milhares 2 3 3 2 2" xfId="690" xr:uid="{00000000-0005-0000-0000-0000A7080000}"/>
    <cellStyle name="Separador de milhares 2 3 3 2 2 2" xfId="1027" xr:uid="{00000000-0005-0000-0000-0000A8080000}"/>
    <cellStyle name="Separador de milhares 2 3 3 2 2 2 2" xfId="1794" xr:uid="{00000000-0005-0000-0000-0000A9080000}"/>
    <cellStyle name="Separador de milhares 2 3 3 2 2 2 2 2" xfId="2987" xr:uid="{00000000-0005-0000-0000-0000AA080000}"/>
    <cellStyle name="Separador de milhares 2 3 3 2 2 2 2 2 2" xfId="5683" xr:uid="{00000000-0005-0000-0000-0000AB080000}"/>
    <cellStyle name="Separador de milhares 2 3 3 2 2 2 2 3" xfId="4490" xr:uid="{00000000-0005-0000-0000-0000AC080000}"/>
    <cellStyle name="Separador de milhares 2 3 3 2 2 2 3" xfId="2487" xr:uid="{00000000-0005-0000-0000-0000AD080000}"/>
    <cellStyle name="Separador de milhares 2 3 3 2 2 2 3 2" xfId="5183" xr:uid="{00000000-0005-0000-0000-0000AE080000}"/>
    <cellStyle name="Separador de milhares 2 3 3 2 2 2 4" xfId="3724" xr:uid="{00000000-0005-0000-0000-0000AF080000}"/>
    <cellStyle name="Separador de milhares 2 3 3 2 2 3" xfId="1457" xr:uid="{00000000-0005-0000-0000-0000B0080000}"/>
    <cellStyle name="Separador de milhares 2 3 3 2 2 3 2" xfId="2737" xr:uid="{00000000-0005-0000-0000-0000B1080000}"/>
    <cellStyle name="Separador de milhares 2 3 3 2 2 3 2 2" xfId="5433" xr:uid="{00000000-0005-0000-0000-0000B2080000}"/>
    <cellStyle name="Separador de milhares 2 3 3 2 2 3 3" xfId="4153" xr:uid="{00000000-0005-0000-0000-0000B3080000}"/>
    <cellStyle name="Separador de milhares 2 3 3 2 2 4" xfId="2237" xr:uid="{00000000-0005-0000-0000-0000B4080000}"/>
    <cellStyle name="Separador de milhares 2 3 3 2 2 4 2" xfId="4933" xr:uid="{00000000-0005-0000-0000-0000B5080000}"/>
    <cellStyle name="Separador de milhares 2 3 3 2 2 5" xfId="3387" xr:uid="{00000000-0005-0000-0000-0000B6080000}"/>
    <cellStyle name="Separador de milhares 2 3 3 2 3" xfId="854" xr:uid="{00000000-0005-0000-0000-0000B7080000}"/>
    <cellStyle name="Separador de milhares 2 3 3 2 3 2" xfId="1621" xr:uid="{00000000-0005-0000-0000-0000B8080000}"/>
    <cellStyle name="Separador de milhares 2 3 3 2 3 2 2" xfId="2862" xr:uid="{00000000-0005-0000-0000-0000B9080000}"/>
    <cellStyle name="Separador de milhares 2 3 3 2 3 2 2 2" xfId="5558" xr:uid="{00000000-0005-0000-0000-0000BA080000}"/>
    <cellStyle name="Separador de milhares 2 3 3 2 3 2 3" xfId="4317" xr:uid="{00000000-0005-0000-0000-0000BB080000}"/>
    <cellStyle name="Separador de milhares 2 3 3 2 3 3" xfId="2362" xr:uid="{00000000-0005-0000-0000-0000BC080000}"/>
    <cellStyle name="Separador de milhares 2 3 3 2 3 3 2" xfId="5058" xr:uid="{00000000-0005-0000-0000-0000BD080000}"/>
    <cellStyle name="Separador de milhares 2 3 3 2 3 4" xfId="3551" xr:uid="{00000000-0005-0000-0000-0000BE080000}"/>
    <cellStyle name="Separador de milhares 2 3 3 2 4" xfId="1284" xr:uid="{00000000-0005-0000-0000-0000BF080000}"/>
    <cellStyle name="Separador de milhares 2 3 3 2 4 2" xfId="2612" xr:uid="{00000000-0005-0000-0000-0000C0080000}"/>
    <cellStyle name="Separador de milhares 2 3 3 2 4 2 2" xfId="5308" xr:uid="{00000000-0005-0000-0000-0000C1080000}"/>
    <cellStyle name="Separador de milhares 2 3 3 2 4 3" xfId="3980" xr:uid="{00000000-0005-0000-0000-0000C2080000}"/>
    <cellStyle name="Separador de milhares 2 3 3 2 5" xfId="2112" xr:uid="{00000000-0005-0000-0000-0000C3080000}"/>
    <cellStyle name="Separador de milhares 2 3 3 2 5 2" xfId="4808" xr:uid="{00000000-0005-0000-0000-0000C4080000}"/>
    <cellStyle name="Separador de milhares 2 3 3 2 6" xfId="3214" xr:uid="{00000000-0005-0000-0000-0000C5080000}"/>
    <cellStyle name="Separador de milhares 2 3 3 3" xfId="627" xr:uid="{00000000-0005-0000-0000-0000C6080000}"/>
    <cellStyle name="Separador de milhares 2 3 3 3 2" xfId="964" xr:uid="{00000000-0005-0000-0000-0000C7080000}"/>
    <cellStyle name="Separador de milhares 2 3 3 3 2 2" xfId="1731" xr:uid="{00000000-0005-0000-0000-0000C8080000}"/>
    <cellStyle name="Separador de milhares 2 3 3 3 2 2 2" xfId="2925" xr:uid="{00000000-0005-0000-0000-0000C9080000}"/>
    <cellStyle name="Separador de milhares 2 3 3 3 2 2 2 2" xfId="5621" xr:uid="{00000000-0005-0000-0000-0000CA080000}"/>
    <cellStyle name="Separador de milhares 2 3 3 3 2 2 3" xfId="4427" xr:uid="{00000000-0005-0000-0000-0000CB080000}"/>
    <cellStyle name="Separador de milhares 2 3 3 3 2 3" xfId="2425" xr:uid="{00000000-0005-0000-0000-0000CC080000}"/>
    <cellStyle name="Separador de milhares 2 3 3 3 2 3 2" xfId="5121" xr:uid="{00000000-0005-0000-0000-0000CD080000}"/>
    <cellStyle name="Separador de milhares 2 3 3 3 2 4" xfId="3661" xr:uid="{00000000-0005-0000-0000-0000CE080000}"/>
    <cellStyle name="Separador de milhares 2 3 3 3 3" xfId="1394" xr:uid="{00000000-0005-0000-0000-0000CF080000}"/>
    <cellStyle name="Separador de milhares 2 3 3 3 3 2" xfId="2675" xr:uid="{00000000-0005-0000-0000-0000D0080000}"/>
    <cellStyle name="Separador de milhares 2 3 3 3 3 2 2" xfId="5371" xr:uid="{00000000-0005-0000-0000-0000D1080000}"/>
    <cellStyle name="Separador de milhares 2 3 3 3 3 3" xfId="4090" xr:uid="{00000000-0005-0000-0000-0000D2080000}"/>
    <cellStyle name="Separador de milhares 2 3 3 3 4" xfId="2175" xr:uid="{00000000-0005-0000-0000-0000D3080000}"/>
    <cellStyle name="Separador de milhares 2 3 3 3 4 2" xfId="4871" xr:uid="{00000000-0005-0000-0000-0000D4080000}"/>
    <cellStyle name="Separador de milhares 2 3 3 3 5" xfId="3324" xr:uid="{00000000-0005-0000-0000-0000D5080000}"/>
    <cellStyle name="Separador de milhares 2 3 3 4" xfId="790" xr:uid="{00000000-0005-0000-0000-0000D6080000}"/>
    <cellStyle name="Separador de milhares 2 3 3 4 2" xfId="1557" xr:uid="{00000000-0005-0000-0000-0000D7080000}"/>
    <cellStyle name="Separador de milhares 2 3 3 4 2 2" xfId="2800" xr:uid="{00000000-0005-0000-0000-0000D8080000}"/>
    <cellStyle name="Separador de milhares 2 3 3 4 2 2 2" xfId="5496" xr:uid="{00000000-0005-0000-0000-0000D9080000}"/>
    <cellStyle name="Separador de milhares 2 3 3 4 2 3" xfId="4253" xr:uid="{00000000-0005-0000-0000-0000DA080000}"/>
    <cellStyle name="Separador de milhares 2 3 3 4 3" xfId="2300" xr:uid="{00000000-0005-0000-0000-0000DB080000}"/>
    <cellStyle name="Separador de milhares 2 3 3 4 3 2" xfId="4996" xr:uid="{00000000-0005-0000-0000-0000DC080000}"/>
    <cellStyle name="Separador de milhares 2 3 3 4 4" xfId="3487" xr:uid="{00000000-0005-0000-0000-0000DD080000}"/>
    <cellStyle name="Separador de milhares 2 3 3 5" xfId="1221" xr:uid="{00000000-0005-0000-0000-0000DE080000}"/>
    <cellStyle name="Separador de milhares 2 3 3 5 2" xfId="2550" xr:uid="{00000000-0005-0000-0000-0000DF080000}"/>
    <cellStyle name="Separador de milhares 2 3 3 5 2 2" xfId="5246" xr:uid="{00000000-0005-0000-0000-0000E0080000}"/>
    <cellStyle name="Separador de milhares 2 3 3 5 3" xfId="3917" xr:uid="{00000000-0005-0000-0000-0000E1080000}"/>
    <cellStyle name="Separador de milhares 2 3 3 6" xfId="2050" xr:uid="{00000000-0005-0000-0000-0000E2080000}"/>
    <cellStyle name="Separador de milhares 2 3 3 6 2" xfId="4746" xr:uid="{00000000-0005-0000-0000-0000E3080000}"/>
    <cellStyle name="Separador de milhares 2 3 3 7" xfId="3150" xr:uid="{00000000-0005-0000-0000-0000E4080000}"/>
    <cellStyle name="Separador de milhares 2 3 4" xfId="499" xr:uid="{00000000-0005-0000-0000-0000E5080000}"/>
    <cellStyle name="Separador de milhares 2 3 4 2" xfId="674" xr:uid="{00000000-0005-0000-0000-0000E6080000}"/>
    <cellStyle name="Separador de milhares 2 3 4 2 2" xfId="1011" xr:uid="{00000000-0005-0000-0000-0000E7080000}"/>
    <cellStyle name="Separador de milhares 2 3 4 2 2 2" xfId="1778" xr:uid="{00000000-0005-0000-0000-0000E8080000}"/>
    <cellStyle name="Separador de milhares 2 3 4 2 2 2 2" xfId="2971" xr:uid="{00000000-0005-0000-0000-0000E9080000}"/>
    <cellStyle name="Separador de milhares 2 3 4 2 2 2 2 2" xfId="5667" xr:uid="{00000000-0005-0000-0000-0000EA080000}"/>
    <cellStyle name="Separador de milhares 2 3 4 2 2 2 3" xfId="4474" xr:uid="{00000000-0005-0000-0000-0000EB080000}"/>
    <cellStyle name="Separador de milhares 2 3 4 2 2 3" xfId="2471" xr:uid="{00000000-0005-0000-0000-0000EC080000}"/>
    <cellStyle name="Separador de milhares 2 3 4 2 2 3 2" xfId="5167" xr:uid="{00000000-0005-0000-0000-0000ED080000}"/>
    <cellStyle name="Separador de milhares 2 3 4 2 2 4" xfId="3708" xr:uid="{00000000-0005-0000-0000-0000EE080000}"/>
    <cellStyle name="Separador de milhares 2 3 4 2 3" xfId="1441" xr:uid="{00000000-0005-0000-0000-0000EF080000}"/>
    <cellStyle name="Separador de milhares 2 3 4 2 3 2" xfId="2721" xr:uid="{00000000-0005-0000-0000-0000F0080000}"/>
    <cellStyle name="Separador de milhares 2 3 4 2 3 2 2" xfId="5417" xr:uid="{00000000-0005-0000-0000-0000F1080000}"/>
    <cellStyle name="Separador de milhares 2 3 4 2 3 3" xfId="4137" xr:uid="{00000000-0005-0000-0000-0000F2080000}"/>
    <cellStyle name="Separador de milhares 2 3 4 2 4" xfId="2221" xr:uid="{00000000-0005-0000-0000-0000F3080000}"/>
    <cellStyle name="Separador de milhares 2 3 4 2 4 2" xfId="4917" xr:uid="{00000000-0005-0000-0000-0000F4080000}"/>
    <cellStyle name="Separador de milhares 2 3 4 2 5" xfId="3371" xr:uid="{00000000-0005-0000-0000-0000F5080000}"/>
    <cellStyle name="Separador de milhares 2 3 4 3" xfId="837" xr:uid="{00000000-0005-0000-0000-0000F6080000}"/>
    <cellStyle name="Separador de milhares 2 3 4 3 2" xfId="1604" xr:uid="{00000000-0005-0000-0000-0000F7080000}"/>
    <cellStyle name="Separador de milhares 2 3 4 3 2 2" xfId="2846" xr:uid="{00000000-0005-0000-0000-0000F8080000}"/>
    <cellStyle name="Separador de milhares 2 3 4 3 2 2 2" xfId="5542" xr:uid="{00000000-0005-0000-0000-0000F9080000}"/>
    <cellStyle name="Separador de milhares 2 3 4 3 2 3" xfId="4300" xr:uid="{00000000-0005-0000-0000-0000FA080000}"/>
    <cellStyle name="Separador de milhares 2 3 4 3 3" xfId="2346" xr:uid="{00000000-0005-0000-0000-0000FB080000}"/>
    <cellStyle name="Separador de milhares 2 3 4 3 3 2" xfId="5042" xr:uid="{00000000-0005-0000-0000-0000FC080000}"/>
    <cellStyle name="Separador de milhares 2 3 4 3 4" xfId="3534" xr:uid="{00000000-0005-0000-0000-0000FD080000}"/>
    <cellStyle name="Separador de milhares 2 3 4 4" xfId="1267" xr:uid="{00000000-0005-0000-0000-0000FE080000}"/>
    <cellStyle name="Separador de milhares 2 3 4 4 2" xfId="2596" xr:uid="{00000000-0005-0000-0000-0000FF080000}"/>
    <cellStyle name="Separador de milhares 2 3 4 4 2 2" xfId="5292" xr:uid="{00000000-0005-0000-0000-000000090000}"/>
    <cellStyle name="Separador de milhares 2 3 4 4 3" xfId="3963" xr:uid="{00000000-0005-0000-0000-000001090000}"/>
    <cellStyle name="Separador de milhares 2 3 4 5" xfId="2096" xr:uid="{00000000-0005-0000-0000-000002090000}"/>
    <cellStyle name="Separador de milhares 2 3 4 5 2" xfId="4792" xr:uid="{00000000-0005-0000-0000-000003090000}"/>
    <cellStyle name="Separador de milhares 2 3 4 6" xfId="3197" xr:uid="{00000000-0005-0000-0000-000004090000}"/>
    <cellStyle name="Separador de milhares 2 3 5" xfId="581" xr:uid="{00000000-0005-0000-0000-000005090000}"/>
    <cellStyle name="Separador de milhares 2 3 5 2" xfId="918" xr:uid="{00000000-0005-0000-0000-000006090000}"/>
    <cellStyle name="Separador de milhares 2 3 5 2 2" xfId="1685" xr:uid="{00000000-0005-0000-0000-000007090000}"/>
    <cellStyle name="Separador de milhares 2 3 5 2 2 2" xfId="2909" xr:uid="{00000000-0005-0000-0000-000008090000}"/>
    <cellStyle name="Separador de milhares 2 3 5 2 2 2 2" xfId="5605" xr:uid="{00000000-0005-0000-0000-000009090000}"/>
    <cellStyle name="Separador de milhares 2 3 5 2 2 3" xfId="4381" xr:uid="{00000000-0005-0000-0000-00000A090000}"/>
    <cellStyle name="Separador de milhares 2 3 5 2 3" xfId="2409" xr:uid="{00000000-0005-0000-0000-00000B090000}"/>
    <cellStyle name="Separador de milhares 2 3 5 2 3 2" xfId="5105" xr:uid="{00000000-0005-0000-0000-00000C090000}"/>
    <cellStyle name="Separador de milhares 2 3 5 2 4" xfId="3615" xr:uid="{00000000-0005-0000-0000-00000D090000}"/>
    <cellStyle name="Separador de milhares 2 3 5 3" xfId="1348" xr:uid="{00000000-0005-0000-0000-00000E090000}"/>
    <cellStyle name="Separador de milhares 2 3 5 3 2" xfId="2659" xr:uid="{00000000-0005-0000-0000-00000F090000}"/>
    <cellStyle name="Separador de milhares 2 3 5 3 2 2" xfId="5355" xr:uid="{00000000-0005-0000-0000-000010090000}"/>
    <cellStyle name="Separador de milhares 2 3 5 3 3" xfId="4044" xr:uid="{00000000-0005-0000-0000-000011090000}"/>
    <cellStyle name="Separador de milhares 2 3 5 4" xfId="2159" xr:uid="{00000000-0005-0000-0000-000012090000}"/>
    <cellStyle name="Separador de milhares 2 3 5 4 2" xfId="4855" xr:uid="{00000000-0005-0000-0000-000013090000}"/>
    <cellStyle name="Separador de milhares 2 3 5 5" xfId="3278" xr:uid="{00000000-0005-0000-0000-000014090000}"/>
    <cellStyle name="Separador de milhares 2 3 6" xfId="771" xr:uid="{00000000-0005-0000-0000-000015090000}"/>
    <cellStyle name="Separador de milhares 2 3 6 2" xfId="1538" xr:uid="{00000000-0005-0000-0000-000016090000}"/>
    <cellStyle name="Separador de milhares 2 3 6 2 2" xfId="2784" xr:uid="{00000000-0005-0000-0000-000017090000}"/>
    <cellStyle name="Separador de milhares 2 3 6 2 2 2" xfId="5480" xr:uid="{00000000-0005-0000-0000-000018090000}"/>
    <cellStyle name="Separador de milhares 2 3 6 2 3" xfId="4234" xr:uid="{00000000-0005-0000-0000-000019090000}"/>
    <cellStyle name="Separador de milhares 2 3 6 3" xfId="2284" xr:uid="{00000000-0005-0000-0000-00001A090000}"/>
    <cellStyle name="Separador de milhares 2 3 6 3 2" xfId="4980" xr:uid="{00000000-0005-0000-0000-00001B090000}"/>
    <cellStyle name="Separador de milhares 2 3 6 4" xfId="3468" xr:uid="{00000000-0005-0000-0000-00001C090000}"/>
    <cellStyle name="Separador de milhares 2 3 7" xfId="1205" xr:uid="{00000000-0005-0000-0000-00001D090000}"/>
    <cellStyle name="Separador de milhares 2 3 7 2" xfId="2534" xr:uid="{00000000-0005-0000-0000-00001E090000}"/>
    <cellStyle name="Separador de milhares 2 3 7 2 2" xfId="5230" xr:uid="{00000000-0005-0000-0000-00001F090000}"/>
    <cellStyle name="Separador de milhares 2 3 7 3" xfId="3901" xr:uid="{00000000-0005-0000-0000-000020090000}"/>
    <cellStyle name="Separador de milhares 2 3 8" xfId="170" xr:uid="{00000000-0005-0000-0000-000021090000}"/>
    <cellStyle name="Separador de milhares 2 3 8 2" xfId="1994" xr:uid="{00000000-0005-0000-0000-000022090000}"/>
    <cellStyle name="Separador de milhares 2 3 8 2 2" xfId="4690" xr:uid="{00000000-0005-0000-0000-000023090000}"/>
    <cellStyle name="Separador de milhares 2 3 8 3" xfId="3087" xr:uid="{00000000-0005-0000-0000-000024090000}"/>
    <cellStyle name="Separador de milhares 2 3 9" xfId="1982" xr:uid="{00000000-0005-0000-0000-000025090000}"/>
    <cellStyle name="Separador de milhares 2 3 9 2" xfId="4678" xr:uid="{00000000-0005-0000-0000-000026090000}"/>
    <cellStyle name="Separador de milhares 2 30" xfId="442" xr:uid="{00000000-0005-0000-0000-000027090000}"/>
    <cellStyle name="Separador de milhares 2 30 2" xfId="506" xr:uid="{00000000-0005-0000-0000-000028090000}"/>
    <cellStyle name="Separador de milhares 2 30 2 2" xfId="680" xr:uid="{00000000-0005-0000-0000-000029090000}"/>
    <cellStyle name="Separador de milhares 2 30 2 2 2" xfId="1017" xr:uid="{00000000-0005-0000-0000-00002A090000}"/>
    <cellStyle name="Separador de milhares 2 30 2 2 2 2" xfId="1784" xr:uid="{00000000-0005-0000-0000-00002B090000}"/>
    <cellStyle name="Separador de milhares 2 30 2 2 2 2 2" xfId="2977" xr:uid="{00000000-0005-0000-0000-00002C090000}"/>
    <cellStyle name="Separador de milhares 2 30 2 2 2 2 2 2" xfId="5673" xr:uid="{00000000-0005-0000-0000-00002D090000}"/>
    <cellStyle name="Separador de milhares 2 30 2 2 2 2 3" xfId="4480" xr:uid="{00000000-0005-0000-0000-00002E090000}"/>
    <cellStyle name="Separador de milhares 2 30 2 2 2 3" xfId="2477" xr:uid="{00000000-0005-0000-0000-00002F090000}"/>
    <cellStyle name="Separador de milhares 2 30 2 2 2 3 2" xfId="5173" xr:uid="{00000000-0005-0000-0000-000030090000}"/>
    <cellStyle name="Separador de milhares 2 30 2 2 2 4" xfId="3714" xr:uid="{00000000-0005-0000-0000-000031090000}"/>
    <cellStyle name="Separador de milhares 2 30 2 2 3" xfId="1447" xr:uid="{00000000-0005-0000-0000-000032090000}"/>
    <cellStyle name="Separador de milhares 2 30 2 2 3 2" xfId="2727" xr:uid="{00000000-0005-0000-0000-000033090000}"/>
    <cellStyle name="Separador de milhares 2 30 2 2 3 2 2" xfId="5423" xr:uid="{00000000-0005-0000-0000-000034090000}"/>
    <cellStyle name="Separador de milhares 2 30 2 2 3 3" xfId="4143" xr:uid="{00000000-0005-0000-0000-000035090000}"/>
    <cellStyle name="Separador de milhares 2 30 2 2 4" xfId="2227" xr:uid="{00000000-0005-0000-0000-000036090000}"/>
    <cellStyle name="Separador de milhares 2 30 2 2 4 2" xfId="4923" xr:uid="{00000000-0005-0000-0000-000037090000}"/>
    <cellStyle name="Separador de milhares 2 30 2 2 5" xfId="3377" xr:uid="{00000000-0005-0000-0000-000038090000}"/>
    <cellStyle name="Separador de milhares 2 30 2 3" xfId="844" xr:uid="{00000000-0005-0000-0000-000039090000}"/>
    <cellStyle name="Separador de milhares 2 30 2 3 2" xfId="1611" xr:uid="{00000000-0005-0000-0000-00003A090000}"/>
    <cellStyle name="Separador de milhares 2 30 2 3 2 2" xfId="2852" xr:uid="{00000000-0005-0000-0000-00003B090000}"/>
    <cellStyle name="Separador de milhares 2 30 2 3 2 2 2" xfId="5548" xr:uid="{00000000-0005-0000-0000-00003C090000}"/>
    <cellStyle name="Separador de milhares 2 30 2 3 2 3" xfId="4307" xr:uid="{00000000-0005-0000-0000-00003D090000}"/>
    <cellStyle name="Separador de milhares 2 30 2 3 3" xfId="2352" xr:uid="{00000000-0005-0000-0000-00003E090000}"/>
    <cellStyle name="Separador de milhares 2 30 2 3 3 2" xfId="5048" xr:uid="{00000000-0005-0000-0000-00003F090000}"/>
    <cellStyle name="Separador de milhares 2 30 2 3 4" xfId="3541" xr:uid="{00000000-0005-0000-0000-000040090000}"/>
    <cellStyle name="Separador de milhares 2 30 2 4" xfId="1274" xr:uid="{00000000-0005-0000-0000-000041090000}"/>
    <cellStyle name="Separador de milhares 2 30 2 4 2" xfId="2602" xr:uid="{00000000-0005-0000-0000-000042090000}"/>
    <cellStyle name="Separador de milhares 2 30 2 4 2 2" xfId="5298" xr:uid="{00000000-0005-0000-0000-000043090000}"/>
    <cellStyle name="Separador de milhares 2 30 2 4 3" xfId="3970" xr:uid="{00000000-0005-0000-0000-000044090000}"/>
    <cellStyle name="Separador de milhares 2 30 2 5" xfId="2102" xr:uid="{00000000-0005-0000-0000-000045090000}"/>
    <cellStyle name="Separador de milhares 2 30 2 5 2" xfId="4798" xr:uid="{00000000-0005-0000-0000-000046090000}"/>
    <cellStyle name="Separador de milhares 2 30 2 6" xfId="3204" xr:uid="{00000000-0005-0000-0000-000047090000}"/>
    <cellStyle name="Separador de milhares 2 30 3" xfId="617" xr:uid="{00000000-0005-0000-0000-000048090000}"/>
    <cellStyle name="Separador de milhares 2 30 3 2" xfId="954" xr:uid="{00000000-0005-0000-0000-000049090000}"/>
    <cellStyle name="Separador de milhares 2 30 3 2 2" xfId="1721" xr:uid="{00000000-0005-0000-0000-00004A090000}"/>
    <cellStyle name="Separador de milhares 2 30 3 2 2 2" xfId="2915" xr:uid="{00000000-0005-0000-0000-00004B090000}"/>
    <cellStyle name="Separador de milhares 2 30 3 2 2 2 2" xfId="5611" xr:uid="{00000000-0005-0000-0000-00004C090000}"/>
    <cellStyle name="Separador de milhares 2 30 3 2 2 3" xfId="4417" xr:uid="{00000000-0005-0000-0000-00004D090000}"/>
    <cellStyle name="Separador de milhares 2 30 3 2 3" xfId="2415" xr:uid="{00000000-0005-0000-0000-00004E090000}"/>
    <cellStyle name="Separador de milhares 2 30 3 2 3 2" xfId="5111" xr:uid="{00000000-0005-0000-0000-00004F090000}"/>
    <cellStyle name="Separador de milhares 2 30 3 2 4" xfId="3651" xr:uid="{00000000-0005-0000-0000-000050090000}"/>
    <cellStyle name="Separador de milhares 2 30 3 3" xfId="1384" xr:uid="{00000000-0005-0000-0000-000051090000}"/>
    <cellStyle name="Separador de milhares 2 30 3 3 2" xfId="2665" xr:uid="{00000000-0005-0000-0000-000052090000}"/>
    <cellStyle name="Separador de milhares 2 30 3 3 2 2" xfId="5361" xr:uid="{00000000-0005-0000-0000-000053090000}"/>
    <cellStyle name="Separador de milhares 2 30 3 3 3" xfId="4080" xr:uid="{00000000-0005-0000-0000-000054090000}"/>
    <cellStyle name="Separador de milhares 2 30 3 4" xfId="2165" xr:uid="{00000000-0005-0000-0000-000055090000}"/>
    <cellStyle name="Separador de milhares 2 30 3 4 2" xfId="4861" xr:uid="{00000000-0005-0000-0000-000056090000}"/>
    <cellStyle name="Separador de milhares 2 30 3 5" xfId="3314" xr:uid="{00000000-0005-0000-0000-000057090000}"/>
    <cellStyle name="Separador de milhares 2 30 4" xfId="780" xr:uid="{00000000-0005-0000-0000-000058090000}"/>
    <cellStyle name="Separador de milhares 2 30 4 2" xfId="1547" xr:uid="{00000000-0005-0000-0000-000059090000}"/>
    <cellStyle name="Separador de milhares 2 30 4 2 2" xfId="2790" xr:uid="{00000000-0005-0000-0000-00005A090000}"/>
    <cellStyle name="Separador de milhares 2 30 4 2 2 2" xfId="5486" xr:uid="{00000000-0005-0000-0000-00005B090000}"/>
    <cellStyle name="Separador de milhares 2 30 4 2 3" xfId="4243" xr:uid="{00000000-0005-0000-0000-00005C090000}"/>
    <cellStyle name="Separador de milhares 2 30 4 3" xfId="2290" xr:uid="{00000000-0005-0000-0000-00005D090000}"/>
    <cellStyle name="Separador de milhares 2 30 4 3 2" xfId="4986" xr:uid="{00000000-0005-0000-0000-00005E090000}"/>
    <cellStyle name="Separador de milhares 2 30 4 4" xfId="3477" xr:uid="{00000000-0005-0000-0000-00005F090000}"/>
    <cellStyle name="Separador de milhares 2 30 5" xfId="1211" xr:uid="{00000000-0005-0000-0000-000060090000}"/>
    <cellStyle name="Separador de milhares 2 30 5 2" xfId="2540" xr:uid="{00000000-0005-0000-0000-000061090000}"/>
    <cellStyle name="Separador de milhares 2 30 5 2 2" xfId="5236" xr:uid="{00000000-0005-0000-0000-000062090000}"/>
    <cellStyle name="Separador de milhares 2 30 5 3" xfId="3907" xr:uid="{00000000-0005-0000-0000-000063090000}"/>
    <cellStyle name="Separador de milhares 2 30 6" xfId="2041" xr:uid="{00000000-0005-0000-0000-000064090000}"/>
    <cellStyle name="Separador de milhares 2 30 6 2" xfId="4737" xr:uid="{00000000-0005-0000-0000-000065090000}"/>
    <cellStyle name="Separador de milhares 2 30 7" xfId="3141" xr:uid="{00000000-0005-0000-0000-000066090000}"/>
    <cellStyle name="Separador de milhares 2 31" xfId="1969" xr:uid="{00000000-0005-0000-0000-000067090000}"/>
    <cellStyle name="Separador de milhares 2 31 2" xfId="4665" xr:uid="{00000000-0005-0000-0000-000068090000}"/>
    <cellStyle name="Separador de milhares 2 32" xfId="3055" xr:uid="{00000000-0005-0000-0000-000069090000}"/>
    <cellStyle name="Separador de milhares 2 33" xfId="5739" xr:uid="{00000000-0005-0000-0000-00006A090000}"/>
    <cellStyle name="Separador de milhares 2 34" xfId="5842" xr:uid="{00000000-0005-0000-0000-00006B090000}"/>
    <cellStyle name="Separador de milhares 2 35" xfId="5868" xr:uid="{00000000-0005-0000-0000-00006C090000}"/>
    <cellStyle name="Separador de milhares 2 36" xfId="5861" xr:uid="{00000000-0005-0000-0000-00006D090000}"/>
    <cellStyle name="Separador de milhares 2 37" xfId="5867" xr:uid="{00000000-0005-0000-0000-00006E090000}"/>
    <cellStyle name="Separador de milhares 2 38" xfId="5862" xr:uid="{00000000-0005-0000-0000-00006F090000}"/>
    <cellStyle name="Separador de milhares 2 39" xfId="5866" xr:uid="{00000000-0005-0000-0000-000070090000}"/>
    <cellStyle name="Separador de milhares 2 4" xfId="245" xr:uid="{00000000-0005-0000-0000-000071090000}"/>
    <cellStyle name="Separador de milhares 2 4 10" xfId="375" xr:uid="{00000000-0005-0000-0000-000072090000}"/>
    <cellStyle name="Separador de milhares 2 4 10 2" xfId="467" xr:uid="{00000000-0005-0000-0000-000073090000}"/>
    <cellStyle name="Separador de milhares 2 4 10 2 2" xfId="532" xr:uid="{00000000-0005-0000-0000-000074090000}"/>
    <cellStyle name="Separador de milhares 2 4 10 2 2 2" xfId="706" xr:uid="{00000000-0005-0000-0000-000075090000}"/>
    <cellStyle name="Separador de milhares 2 4 10 2 2 2 2" xfId="1043" xr:uid="{00000000-0005-0000-0000-000076090000}"/>
    <cellStyle name="Separador de milhares 2 4 10 2 2 2 2 2" xfId="1810" xr:uid="{00000000-0005-0000-0000-000077090000}"/>
    <cellStyle name="Separador de milhares 2 4 10 2 2 2 2 2 2" xfId="3003" xr:uid="{00000000-0005-0000-0000-000078090000}"/>
    <cellStyle name="Separador de milhares 2 4 10 2 2 2 2 2 2 2" xfId="5699" xr:uid="{00000000-0005-0000-0000-000079090000}"/>
    <cellStyle name="Separador de milhares 2 4 10 2 2 2 2 2 3" xfId="4506" xr:uid="{00000000-0005-0000-0000-00007A090000}"/>
    <cellStyle name="Separador de milhares 2 4 10 2 2 2 2 3" xfId="2503" xr:uid="{00000000-0005-0000-0000-00007B090000}"/>
    <cellStyle name="Separador de milhares 2 4 10 2 2 2 2 3 2" xfId="5199" xr:uid="{00000000-0005-0000-0000-00007C090000}"/>
    <cellStyle name="Separador de milhares 2 4 10 2 2 2 2 4" xfId="3740" xr:uid="{00000000-0005-0000-0000-00007D090000}"/>
    <cellStyle name="Separador de milhares 2 4 10 2 2 2 3" xfId="1473" xr:uid="{00000000-0005-0000-0000-00007E090000}"/>
    <cellStyle name="Separador de milhares 2 4 10 2 2 2 3 2" xfId="2753" xr:uid="{00000000-0005-0000-0000-00007F090000}"/>
    <cellStyle name="Separador de milhares 2 4 10 2 2 2 3 2 2" xfId="5449" xr:uid="{00000000-0005-0000-0000-000080090000}"/>
    <cellStyle name="Separador de milhares 2 4 10 2 2 2 3 3" xfId="4169" xr:uid="{00000000-0005-0000-0000-000081090000}"/>
    <cellStyle name="Separador de milhares 2 4 10 2 2 2 4" xfId="2253" xr:uid="{00000000-0005-0000-0000-000082090000}"/>
    <cellStyle name="Separador de milhares 2 4 10 2 2 2 4 2" xfId="4949" xr:uid="{00000000-0005-0000-0000-000083090000}"/>
    <cellStyle name="Separador de milhares 2 4 10 2 2 2 5" xfId="3403" xr:uid="{00000000-0005-0000-0000-000084090000}"/>
    <cellStyle name="Separador de milhares 2 4 10 2 2 3" xfId="870" xr:uid="{00000000-0005-0000-0000-000085090000}"/>
    <cellStyle name="Separador de milhares 2 4 10 2 2 3 2" xfId="1637" xr:uid="{00000000-0005-0000-0000-000086090000}"/>
    <cellStyle name="Separador de milhares 2 4 10 2 2 3 2 2" xfId="2878" xr:uid="{00000000-0005-0000-0000-000087090000}"/>
    <cellStyle name="Separador de milhares 2 4 10 2 2 3 2 2 2" xfId="5574" xr:uid="{00000000-0005-0000-0000-000088090000}"/>
    <cellStyle name="Separador de milhares 2 4 10 2 2 3 2 3" xfId="4333" xr:uid="{00000000-0005-0000-0000-000089090000}"/>
    <cellStyle name="Separador de milhares 2 4 10 2 2 3 3" xfId="2378" xr:uid="{00000000-0005-0000-0000-00008A090000}"/>
    <cellStyle name="Separador de milhares 2 4 10 2 2 3 3 2" xfId="5074" xr:uid="{00000000-0005-0000-0000-00008B090000}"/>
    <cellStyle name="Separador de milhares 2 4 10 2 2 3 4" xfId="3567" xr:uid="{00000000-0005-0000-0000-00008C090000}"/>
    <cellStyle name="Separador de milhares 2 4 10 2 2 4" xfId="1300" xr:uid="{00000000-0005-0000-0000-00008D090000}"/>
    <cellStyle name="Separador de milhares 2 4 10 2 2 4 2" xfId="2628" xr:uid="{00000000-0005-0000-0000-00008E090000}"/>
    <cellStyle name="Separador de milhares 2 4 10 2 2 4 2 2" xfId="5324" xr:uid="{00000000-0005-0000-0000-00008F090000}"/>
    <cellStyle name="Separador de milhares 2 4 10 2 2 4 3" xfId="3996" xr:uid="{00000000-0005-0000-0000-000090090000}"/>
    <cellStyle name="Separador de milhares 2 4 10 2 2 5" xfId="2128" xr:uid="{00000000-0005-0000-0000-000091090000}"/>
    <cellStyle name="Separador de milhares 2 4 10 2 2 5 2" xfId="4824" xr:uid="{00000000-0005-0000-0000-000092090000}"/>
    <cellStyle name="Separador de milhares 2 4 10 2 2 6" xfId="3230" xr:uid="{00000000-0005-0000-0000-000093090000}"/>
    <cellStyle name="Separador de milhares 2 4 10 2 3" xfId="643" xr:uid="{00000000-0005-0000-0000-000094090000}"/>
    <cellStyle name="Separador de milhares 2 4 10 2 3 2" xfId="980" xr:uid="{00000000-0005-0000-0000-000095090000}"/>
    <cellStyle name="Separador de milhares 2 4 10 2 3 2 2" xfId="1747" xr:uid="{00000000-0005-0000-0000-000096090000}"/>
    <cellStyle name="Separador de milhares 2 4 10 2 3 2 2 2" xfId="2941" xr:uid="{00000000-0005-0000-0000-000097090000}"/>
    <cellStyle name="Separador de milhares 2 4 10 2 3 2 2 2 2" xfId="5637" xr:uid="{00000000-0005-0000-0000-000098090000}"/>
    <cellStyle name="Separador de milhares 2 4 10 2 3 2 2 3" xfId="4443" xr:uid="{00000000-0005-0000-0000-000099090000}"/>
    <cellStyle name="Separador de milhares 2 4 10 2 3 2 3" xfId="2441" xr:uid="{00000000-0005-0000-0000-00009A090000}"/>
    <cellStyle name="Separador de milhares 2 4 10 2 3 2 3 2" xfId="5137" xr:uid="{00000000-0005-0000-0000-00009B090000}"/>
    <cellStyle name="Separador de milhares 2 4 10 2 3 2 4" xfId="3677" xr:uid="{00000000-0005-0000-0000-00009C090000}"/>
    <cellStyle name="Separador de milhares 2 4 10 2 3 3" xfId="1410" xr:uid="{00000000-0005-0000-0000-00009D090000}"/>
    <cellStyle name="Separador de milhares 2 4 10 2 3 3 2" xfId="2691" xr:uid="{00000000-0005-0000-0000-00009E090000}"/>
    <cellStyle name="Separador de milhares 2 4 10 2 3 3 2 2" xfId="5387" xr:uid="{00000000-0005-0000-0000-00009F090000}"/>
    <cellStyle name="Separador de milhares 2 4 10 2 3 3 3" xfId="4106" xr:uid="{00000000-0005-0000-0000-0000A0090000}"/>
    <cellStyle name="Separador de milhares 2 4 10 2 3 4" xfId="2191" xr:uid="{00000000-0005-0000-0000-0000A1090000}"/>
    <cellStyle name="Separador de milhares 2 4 10 2 3 4 2" xfId="4887" xr:uid="{00000000-0005-0000-0000-0000A2090000}"/>
    <cellStyle name="Separador de milhares 2 4 10 2 3 5" xfId="3340" xr:uid="{00000000-0005-0000-0000-0000A3090000}"/>
    <cellStyle name="Separador de milhares 2 4 10 2 4" xfId="806" xr:uid="{00000000-0005-0000-0000-0000A4090000}"/>
    <cellStyle name="Separador de milhares 2 4 10 2 4 2" xfId="1573" xr:uid="{00000000-0005-0000-0000-0000A5090000}"/>
    <cellStyle name="Separador de milhares 2 4 10 2 4 2 2" xfId="2816" xr:uid="{00000000-0005-0000-0000-0000A6090000}"/>
    <cellStyle name="Separador de milhares 2 4 10 2 4 2 2 2" xfId="5512" xr:uid="{00000000-0005-0000-0000-0000A7090000}"/>
    <cellStyle name="Separador de milhares 2 4 10 2 4 2 3" xfId="4269" xr:uid="{00000000-0005-0000-0000-0000A8090000}"/>
    <cellStyle name="Separador de milhares 2 4 10 2 4 3" xfId="2316" xr:uid="{00000000-0005-0000-0000-0000A9090000}"/>
    <cellStyle name="Separador de milhares 2 4 10 2 4 3 2" xfId="5012" xr:uid="{00000000-0005-0000-0000-0000AA090000}"/>
    <cellStyle name="Separador de milhares 2 4 10 2 4 4" xfId="3503" xr:uid="{00000000-0005-0000-0000-0000AB090000}"/>
    <cellStyle name="Separador de milhares 2 4 10 2 5" xfId="1237" xr:uid="{00000000-0005-0000-0000-0000AC090000}"/>
    <cellStyle name="Separador de milhares 2 4 10 2 5 2" xfId="2566" xr:uid="{00000000-0005-0000-0000-0000AD090000}"/>
    <cellStyle name="Separador de milhares 2 4 10 2 5 2 2" xfId="5262" xr:uid="{00000000-0005-0000-0000-0000AE090000}"/>
    <cellStyle name="Separador de milhares 2 4 10 2 5 3" xfId="3933" xr:uid="{00000000-0005-0000-0000-0000AF090000}"/>
    <cellStyle name="Separador de milhares 2 4 10 2 6" xfId="2066" xr:uid="{00000000-0005-0000-0000-0000B0090000}"/>
    <cellStyle name="Separador de milhares 2 4 10 2 6 2" xfId="4762" xr:uid="{00000000-0005-0000-0000-0000B1090000}"/>
    <cellStyle name="Separador de milhares 2 4 10 2 7" xfId="3166" xr:uid="{00000000-0005-0000-0000-0000B2090000}"/>
    <cellStyle name="Separador de milhares 2 4 10 3" xfId="2011" xr:uid="{00000000-0005-0000-0000-0000B3090000}"/>
    <cellStyle name="Separador de milhares 2 4 10 3 2" xfId="4707" xr:uid="{00000000-0005-0000-0000-0000B4090000}"/>
    <cellStyle name="Separador de milhares 2 4 10 4" xfId="3110" xr:uid="{00000000-0005-0000-0000-0000B5090000}"/>
    <cellStyle name="Separador de milhares 2 4 11" xfId="376" xr:uid="{00000000-0005-0000-0000-0000B6090000}"/>
    <cellStyle name="Separador de milhares 2 4 11 2" xfId="468" xr:uid="{00000000-0005-0000-0000-0000B7090000}"/>
    <cellStyle name="Separador de milhares 2 4 11 2 2" xfId="533" xr:uid="{00000000-0005-0000-0000-0000B8090000}"/>
    <cellStyle name="Separador de milhares 2 4 11 2 2 2" xfId="707" xr:uid="{00000000-0005-0000-0000-0000B9090000}"/>
    <cellStyle name="Separador de milhares 2 4 11 2 2 2 2" xfId="1044" xr:uid="{00000000-0005-0000-0000-0000BA090000}"/>
    <cellStyle name="Separador de milhares 2 4 11 2 2 2 2 2" xfId="1811" xr:uid="{00000000-0005-0000-0000-0000BB090000}"/>
    <cellStyle name="Separador de milhares 2 4 11 2 2 2 2 2 2" xfId="3004" xr:uid="{00000000-0005-0000-0000-0000BC090000}"/>
    <cellStyle name="Separador de milhares 2 4 11 2 2 2 2 2 2 2" xfId="5700" xr:uid="{00000000-0005-0000-0000-0000BD090000}"/>
    <cellStyle name="Separador de milhares 2 4 11 2 2 2 2 2 3" xfId="4507" xr:uid="{00000000-0005-0000-0000-0000BE090000}"/>
    <cellStyle name="Separador de milhares 2 4 11 2 2 2 2 3" xfId="2504" xr:uid="{00000000-0005-0000-0000-0000BF090000}"/>
    <cellStyle name="Separador de milhares 2 4 11 2 2 2 2 3 2" xfId="5200" xr:uid="{00000000-0005-0000-0000-0000C0090000}"/>
    <cellStyle name="Separador de milhares 2 4 11 2 2 2 2 4" xfId="3741" xr:uid="{00000000-0005-0000-0000-0000C1090000}"/>
    <cellStyle name="Separador de milhares 2 4 11 2 2 2 3" xfId="1474" xr:uid="{00000000-0005-0000-0000-0000C2090000}"/>
    <cellStyle name="Separador de milhares 2 4 11 2 2 2 3 2" xfId="2754" xr:uid="{00000000-0005-0000-0000-0000C3090000}"/>
    <cellStyle name="Separador de milhares 2 4 11 2 2 2 3 2 2" xfId="5450" xr:uid="{00000000-0005-0000-0000-0000C4090000}"/>
    <cellStyle name="Separador de milhares 2 4 11 2 2 2 3 3" xfId="4170" xr:uid="{00000000-0005-0000-0000-0000C5090000}"/>
    <cellStyle name="Separador de milhares 2 4 11 2 2 2 4" xfId="2254" xr:uid="{00000000-0005-0000-0000-0000C6090000}"/>
    <cellStyle name="Separador de milhares 2 4 11 2 2 2 4 2" xfId="4950" xr:uid="{00000000-0005-0000-0000-0000C7090000}"/>
    <cellStyle name="Separador de milhares 2 4 11 2 2 2 5" xfId="3404" xr:uid="{00000000-0005-0000-0000-0000C8090000}"/>
    <cellStyle name="Separador de milhares 2 4 11 2 2 3" xfId="871" xr:uid="{00000000-0005-0000-0000-0000C9090000}"/>
    <cellStyle name="Separador de milhares 2 4 11 2 2 3 2" xfId="1638" xr:uid="{00000000-0005-0000-0000-0000CA090000}"/>
    <cellStyle name="Separador de milhares 2 4 11 2 2 3 2 2" xfId="2879" xr:uid="{00000000-0005-0000-0000-0000CB090000}"/>
    <cellStyle name="Separador de milhares 2 4 11 2 2 3 2 2 2" xfId="5575" xr:uid="{00000000-0005-0000-0000-0000CC090000}"/>
    <cellStyle name="Separador de milhares 2 4 11 2 2 3 2 3" xfId="4334" xr:uid="{00000000-0005-0000-0000-0000CD090000}"/>
    <cellStyle name="Separador de milhares 2 4 11 2 2 3 3" xfId="2379" xr:uid="{00000000-0005-0000-0000-0000CE090000}"/>
    <cellStyle name="Separador de milhares 2 4 11 2 2 3 3 2" xfId="5075" xr:uid="{00000000-0005-0000-0000-0000CF090000}"/>
    <cellStyle name="Separador de milhares 2 4 11 2 2 3 4" xfId="3568" xr:uid="{00000000-0005-0000-0000-0000D0090000}"/>
    <cellStyle name="Separador de milhares 2 4 11 2 2 4" xfId="1301" xr:uid="{00000000-0005-0000-0000-0000D1090000}"/>
    <cellStyle name="Separador de milhares 2 4 11 2 2 4 2" xfId="2629" xr:uid="{00000000-0005-0000-0000-0000D2090000}"/>
    <cellStyle name="Separador de milhares 2 4 11 2 2 4 2 2" xfId="5325" xr:uid="{00000000-0005-0000-0000-0000D3090000}"/>
    <cellStyle name="Separador de milhares 2 4 11 2 2 4 3" xfId="3997" xr:uid="{00000000-0005-0000-0000-0000D4090000}"/>
    <cellStyle name="Separador de milhares 2 4 11 2 2 5" xfId="2129" xr:uid="{00000000-0005-0000-0000-0000D5090000}"/>
    <cellStyle name="Separador de milhares 2 4 11 2 2 5 2" xfId="4825" xr:uid="{00000000-0005-0000-0000-0000D6090000}"/>
    <cellStyle name="Separador de milhares 2 4 11 2 2 6" xfId="3231" xr:uid="{00000000-0005-0000-0000-0000D7090000}"/>
    <cellStyle name="Separador de milhares 2 4 11 2 3" xfId="644" xr:uid="{00000000-0005-0000-0000-0000D8090000}"/>
    <cellStyle name="Separador de milhares 2 4 11 2 3 2" xfId="981" xr:uid="{00000000-0005-0000-0000-0000D9090000}"/>
    <cellStyle name="Separador de milhares 2 4 11 2 3 2 2" xfId="1748" xr:uid="{00000000-0005-0000-0000-0000DA090000}"/>
    <cellStyle name="Separador de milhares 2 4 11 2 3 2 2 2" xfId="2942" xr:uid="{00000000-0005-0000-0000-0000DB090000}"/>
    <cellStyle name="Separador de milhares 2 4 11 2 3 2 2 2 2" xfId="5638" xr:uid="{00000000-0005-0000-0000-0000DC090000}"/>
    <cellStyle name="Separador de milhares 2 4 11 2 3 2 2 3" xfId="4444" xr:uid="{00000000-0005-0000-0000-0000DD090000}"/>
    <cellStyle name="Separador de milhares 2 4 11 2 3 2 3" xfId="2442" xr:uid="{00000000-0005-0000-0000-0000DE090000}"/>
    <cellStyle name="Separador de milhares 2 4 11 2 3 2 3 2" xfId="5138" xr:uid="{00000000-0005-0000-0000-0000DF090000}"/>
    <cellStyle name="Separador de milhares 2 4 11 2 3 2 4" xfId="3678" xr:uid="{00000000-0005-0000-0000-0000E0090000}"/>
    <cellStyle name="Separador de milhares 2 4 11 2 3 3" xfId="1411" xr:uid="{00000000-0005-0000-0000-0000E1090000}"/>
    <cellStyle name="Separador de milhares 2 4 11 2 3 3 2" xfId="2692" xr:uid="{00000000-0005-0000-0000-0000E2090000}"/>
    <cellStyle name="Separador de milhares 2 4 11 2 3 3 2 2" xfId="5388" xr:uid="{00000000-0005-0000-0000-0000E3090000}"/>
    <cellStyle name="Separador de milhares 2 4 11 2 3 3 3" xfId="4107" xr:uid="{00000000-0005-0000-0000-0000E4090000}"/>
    <cellStyle name="Separador de milhares 2 4 11 2 3 4" xfId="2192" xr:uid="{00000000-0005-0000-0000-0000E5090000}"/>
    <cellStyle name="Separador de milhares 2 4 11 2 3 4 2" xfId="4888" xr:uid="{00000000-0005-0000-0000-0000E6090000}"/>
    <cellStyle name="Separador de milhares 2 4 11 2 3 5" xfId="3341" xr:uid="{00000000-0005-0000-0000-0000E7090000}"/>
    <cellStyle name="Separador de milhares 2 4 11 2 4" xfId="807" xr:uid="{00000000-0005-0000-0000-0000E8090000}"/>
    <cellStyle name="Separador de milhares 2 4 11 2 4 2" xfId="1574" xr:uid="{00000000-0005-0000-0000-0000E9090000}"/>
    <cellStyle name="Separador de milhares 2 4 11 2 4 2 2" xfId="2817" xr:uid="{00000000-0005-0000-0000-0000EA090000}"/>
    <cellStyle name="Separador de milhares 2 4 11 2 4 2 2 2" xfId="5513" xr:uid="{00000000-0005-0000-0000-0000EB090000}"/>
    <cellStyle name="Separador de milhares 2 4 11 2 4 2 3" xfId="4270" xr:uid="{00000000-0005-0000-0000-0000EC090000}"/>
    <cellStyle name="Separador de milhares 2 4 11 2 4 3" xfId="2317" xr:uid="{00000000-0005-0000-0000-0000ED090000}"/>
    <cellStyle name="Separador de milhares 2 4 11 2 4 3 2" xfId="5013" xr:uid="{00000000-0005-0000-0000-0000EE090000}"/>
    <cellStyle name="Separador de milhares 2 4 11 2 4 4" xfId="3504" xr:uid="{00000000-0005-0000-0000-0000EF090000}"/>
    <cellStyle name="Separador de milhares 2 4 11 2 5" xfId="1238" xr:uid="{00000000-0005-0000-0000-0000F0090000}"/>
    <cellStyle name="Separador de milhares 2 4 11 2 5 2" xfId="2567" xr:uid="{00000000-0005-0000-0000-0000F1090000}"/>
    <cellStyle name="Separador de milhares 2 4 11 2 5 2 2" xfId="5263" xr:uid="{00000000-0005-0000-0000-0000F2090000}"/>
    <cellStyle name="Separador de milhares 2 4 11 2 5 3" xfId="3934" xr:uid="{00000000-0005-0000-0000-0000F3090000}"/>
    <cellStyle name="Separador de milhares 2 4 11 2 6" xfId="2067" xr:uid="{00000000-0005-0000-0000-0000F4090000}"/>
    <cellStyle name="Separador de milhares 2 4 11 2 6 2" xfId="4763" xr:uid="{00000000-0005-0000-0000-0000F5090000}"/>
    <cellStyle name="Separador de milhares 2 4 11 2 7" xfId="3167" xr:uid="{00000000-0005-0000-0000-0000F6090000}"/>
    <cellStyle name="Separador de milhares 2 4 11 3" xfId="2012" xr:uid="{00000000-0005-0000-0000-0000F7090000}"/>
    <cellStyle name="Separador de milhares 2 4 11 3 2" xfId="4708" xr:uid="{00000000-0005-0000-0000-0000F8090000}"/>
    <cellStyle name="Separador de milhares 2 4 11 4" xfId="3111" xr:uid="{00000000-0005-0000-0000-0000F9090000}"/>
    <cellStyle name="Separador de milhares 2 4 12" xfId="377" xr:uid="{00000000-0005-0000-0000-0000FA090000}"/>
    <cellStyle name="Separador de milhares 2 4 12 2" xfId="469" xr:uid="{00000000-0005-0000-0000-0000FB090000}"/>
    <cellStyle name="Separador de milhares 2 4 12 2 2" xfId="534" xr:uid="{00000000-0005-0000-0000-0000FC090000}"/>
    <cellStyle name="Separador de milhares 2 4 12 2 2 2" xfId="708" xr:uid="{00000000-0005-0000-0000-0000FD090000}"/>
    <cellStyle name="Separador de milhares 2 4 12 2 2 2 2" xfId="1045" xr:uid="{00000000-0005-0000-0000-0000FE090000}"/>
    <cellStyle name="Separador de milhares 2 4 12 2 2 2 2 2" xfId="1812" xr:uid="{00000000-0005-0000-0000-0000FF090000}"/>
    <cellStyle name="Separador de milhares 2 4 12 2 2 2 2 2 2" xfId="3005" xr:uid="{00000000-0005-0000-0000-0000000A0000}"/>
    <cellStyle name="Separador de milhares 2 4 12 2 2 2 2 2 2 2" xfId="5701" xr:uid="{00000000-0005-0000-0000-0000010A0000}"/>
    <cellStyle name="Separador de milhares 2 4 12 2 2 2 2 2 3" xfId="4508" xr:uid="{00000000-0005-0000-0000-0000020A0000}"/>
    <cellStyle name="Separador de milhares 2 4 12 2 2 2 2 3" xfId="2505" xr:uid="{00000000-0005-0000-0000-0000030A0000}"/>
    <cellStyle name="Separador de milhares 2 4 12 2 2 2 2 3 2" xfId="5201" xr:uid="{00000000-0005-0000-0000-0000040A0000}"/>
    <cellStyle name="Separador de milhares 2 4 12 2 2 2 2 4" xfId="3742" xr:uid="{00000000-0005-0000-0000-0000050A0000}"/>
    <cellStyle name="Separador de milhares 2 4 12 2 2 2 3" xfId="1475" xr:uid="{00000000-0005-0000-0000-0000060A0000}"/>
    <cellStyle name="Separador de milhares 2 4 12 2 2 2 3 2" xfId="2755" xr:uid="{00000000-0005-0000-0000-0000070A0000}"/>
    <cellStyle name="Separador de milhares 2 4 12 2 2 2 3 2 2" xfId="5451" xr:uid="{00000000-0005-0000-0000-0000080A0000}"/>
    <cellStyle name="Separador de milhares 2 4 12 2 2 2 3 3" xfId="4171" xr:uid="{00000000-0005-0000-0000-0000090A0000}"/>
    <cellStyle name="Separador de milhares 2 4 12 2 2 2 4" xfId="2255" xr:uid="{00000000-0005-0000-0000-00000A0A0000}"/>
    <cellStyle name="Separador de milhares 2 4 12 2 2 2 4 2" xfId="4951" xr:uid="{00000000-0005-0000-0000-00000B0A0000}"/>
    <cellStyle name="Separador de milhares 2 4 12 2 2 2 5" xfId="3405" xr:uid="{00000000-0005-0000-0000-00000C0A0000}"/>
    <cellStyle name="Separador de milhares 2 4 12 2 2 3" xfId="872" xr:uid="{00000000-0005-0000-0000-00000D0A0000}"/>
    <cellStyle name="Separador de milhares 2 4 12 2 2 3 2" xfId="1639" xr:uid="{00000000-0005-0000-0000-00000E0A0000}"/>
    <cellStyle name="Separador de milhares 2 4 12 2 2 3 2 2" xfId="2880" xr:uid="{00000000-0005-0000-0000-00000F0A0000}"/>
    <cellStyle name="Separador de milhares 2 4 12 2 2 3 2 2 2" xfId="5576" xr:uid="{00000000-0005-0000-0000-0000100A0000}"/>
    <cellStyle name="Separador de milhares 2 4 12 2 2 3 2 3" xfId="4335" xr:uid="{00000000-0005-0000-0000-0000110A0000}"/>
    <cellStyle name="Separador de milhares 2 4 12 2 2 3 3" xfId="2380" xr:uid="{00000000-0005-0000-0000-0000120A0000}"/>
    <cellStyle name="Separador de milhares 2 4 12 2 2 3 3 2" xfId="5076" xr:uid="{00000000-0005-0000-0000-0000130A0000}"/>
    <cellStyle name="Separador de milhares 2 4 12 2 2 3 4" xfId="3569" xr:uid="{00000000-0005-0000-0000-0000140A0000}"/>
    <cellStyle name="Separador de milhares 2 4 12 2 2 4" xfId="1302" xr:uid="{00000000-0005-0000-0000-0000150A0000}"/>
    <cellStyle name="Separador de milhares 2 4 12 2 2 4 2" xfId="2630" xr:uid="{00000000-0005-0000-0000-0000160A0000}"/>
    <cellStyle name="Separador de milhares 2 4 12 2 2 4 2 2" xfId="5326" xr:uid="{00000000-0005-0000-0000-0000170A0000}"/>
    <cellStyle name="Separador de milhares 2 4 12 2 2 4 3" xfId="3998" xr:uid="{00000000-0005-0000-0000-0000180A0000}"/>
    <cellStyle name="Separador de milhares 2 4 12 2 2 5" xfId="2130" xr:uid="{00000000-0005-0000-0000-0000190A0000}"/>
    <cellStyle name="Separador de milhares 2 4 12 2 2 5 2" xfId="4826" xr:uid="{00000000-0005-0000-0000-00001A0A0000}"/>
    <cellStyle name="Separador de milhares 2 4 12 2 2 6" xfId="3232" xr:uid="{00000000-0005-0000-0000-00001B0A0000}"/>
    <cellStyle name="Separador de milhares 2 4 12 2 3" xfId="645" xr:uid="{00000000-0005-0000-0000-00001C0A0000}"/>
    <cellStyle name="Separador de milhares 2 4 12 2 3 2" xfId="982" xr:uid="{00000000-0005-0000-0000-00001D0A0000}"/>
    <cellStyle name="Separador de milhares 2 4 12 2 3 2 2" xfId="1749" xr:uid="{00000000-0005-0000-0000-00001E0A0000}"/>
    <cellStyle name="Separador de milhares 2 4 12 2 3 2 2 2" xfId="2943" xr:uid="{00000000-0005-0000-0000-00001F0A0000}"/>
    <cellStyle name="Separador de milhares 2 4 12 2 3 2 2 2 2" xfId="5639" xr:uid="{00000000-0005-0000-0000-0000200A0000}"/>
    <cellStyle name="Separador de milhares 2 4 12 2 3 2 2 3" xfId="4445" xr:uid="{00000000-0005-0000-0000-0000210A0000}"/>
    <cellStyle name="Separador de milhares 2 4 12 2 3 2 3" xfId="2443" xr:uid="{00000000-0005-0000-0000-0000220A0000}"/>
    <cellStyle name="Separador de milhares 2 4 12 2 3 2 3 2" xfId="5139" xr:uid="{00000000-0005-0000-0000-0000230A0000}"/>
    <cellStyle name="Separador de milhares 2 4 12 2 3 2 4" xfId="3679" xr:uid="{00000000-0005-0000-0000-0000240A0000}"/>
    <cellStyle name="Separador de milhares 2 4 12 2 3 3" xfId="1412" xr:uid="{00000000-0005-0000-0000-0000250A0000}"/>
    <cellStyle name="Separador de milhares 2 4 12 2 3 3 2" xfId="2693" xr:uid="{00000000-0005-0000-0000-0000260A0000}"/>
    <cellStyle name="Separador de milhares 2 4 12 2 3 3 2 2" xfId="5389" xr:uid="{00000000-0005-0000-0000-0000270A0000}"/>
    <cellStyle name="Separador de milhares 2 4 12 2 3 3 3" xfId="4108" xr:uid="{00000000-0005-0000-0000-0000280A0000}"/>
    <cellStyle name="Separador de milhares 2 4 12 2 3 4" xfId="2193" xr:uid="{00000000-0005-0000-0000-0000290A0000}"/>
    <cellStyle name="Separador de milhares 2 4 12 2 3 4 2" xfId="4889" xr:uid="{00000000-0005-0000-0000-00002A0A0000}"/>
    <cellStyle name="Separador de milhares 2 4 12 2 3 5" xfId="3342" xr:uid="{00000000-0005-0000-0000-00002B0A0000}"/>
    <cellStyle name="Separador de milhares 2 4 12 2 4" xfId="808" xr:uid="{00000000-0005-0000-0000-00002C0A0000}"/>
    <cellStyle name="Separador de milhares 2 4 12 2 4 2" xfId="1575" xr:uid="{00000000-0005-0000-0000-00002D0A0000}"/>
    <cellStyle name="Separador de milhares 2 4 12 2 4 2 2" xfId="2818" xr:uid="{00000000-0005-0000-0000-00002E0A0000}"/>
    <cellStyle name="Separador de milhares 2 4 12 2 4 2 2 2" xfId="5514" xr:uid="{00000000-0005-0000-0000-00002F0A0000}"/>
    <cellStyle name="Separador de milhares 2 4 12 2 4 2 3" xfId="4271" xr:uid="{00000000-0005-0000-0000-0000300A0000}"/>
    <cellStyle name="Separador de milhares 2 4 12 2 4 3" xfId="2318" xr:uid="{00000000-0005-0000-0000-0000310A0000}"/>
    <cellStyle name="Separador de milhares 2 4 12 2 4 3 2" xfId="5014" xr:uid="{00000000-0005-0000-0000-0000320A0000}"/>
    <cellStyle name="Separador de milhares 2 4 12 2 4 4" xfId="3505" xr:uid="{00000000-0005-0000-0000-0000330A0000}"/>
    <cellStyle name="Separador de milhares 2 4 12 2 5" xfId="1239" xr:uid="{00000000-0005-0000-0000-0000340A0000}"/>
    <cellStyle name="Separador de milhares 2 4 12 2 5 2" xfId="2568" xr:uid="{00000000-0005-0000-0000-0000350A0000}"/>
    <cellStyle name="Separador de milhares 2 4 12 2 5 2 2" xfId="5264" xr:uid="{00000000-0005-0000-0000-0000360A0000}"/>
    <cellStyle name="Separador de milhares 2 4 12 2 5 3" xfId="3935" xr:uid="{00000000-0005-0000-0000-0000370A0000}"/>
    <cellStyle name="Separador de milhares 2 4 12 2 6" xfId="2068" xr:uid="{00000000-0005-0000-0000-0000380A0000}"/>
    <cellStyle name="Separador de milhares 2 4 12 2 6 2" xfId="4764" xr:uid="{00000000-0005-0000-0000-0000390A0000}"/>
    <cellStyle name="Separador de milhares 2 4 12 2 7" xfId="3168" xr:uid="{00000000-0005-0000-0000-00003A0A0000}"/>
    <cellStyle name="Separador de milhares 2 4 12 3" xfId="2013" xr:uid="{00000000-0005-0000-0000-00003B0A0000}"/>
    <cellStyle name="Separador de milhares 2 4 12 3 2" xfId="4709" xr:uid="{00000000-0005-0000-0000-00003C0A0000}"/>
    <cellStyle name="Separador de milhares 2 4 12 4" xfId="3112" xr:uid="{00000000-0005-0000-0000-00003D0A0000}"/>
    <cellStyle name="Separador de milhares 2 4 13" xfId="456" xr:uid="{00000000-0005-0000-0000-00003E0A0000}"/>
    <cellStyle name="Separador de milhares 2 4 13 2" xfId="521" xr:uid="{00000000-0005-0000-0000-00003F0A0000}"/>
    <cellStyle name="Separador de milhares 2 4 13 2 2" xfId="695" xr:uid="{00000000-0005-0000-0000-0000400A0000}"/>
    <cellStyle name="Separador de milhares 2 4 13 2 2 2" xfId="1032" xr:uid="{00000000-0005-0000-0000-0000410A0000}"/>
    <cellStyle name="Separador de milhares 2 4 13 2 2 2 2" xfId="1799" xr:uid="{00000000-0005-0000-0000-0000420A0000}"/>
    <cellStyle name="Separador de milhares 2 4 13 2 2 2 2 2" xfId="2992" xr:uid="{00000000-0005-0000-0000-0000430A0000}"/>
    <cellStyle name="Separador de milhares 2 4 13 2 2 2 2 2 2" xfId="5688" xr:uid="{00000000-0005-0000-0000-0000440A0000}"/>
    <cellStyle name="Separador de milhares 2 4 13 2 2 2 2 3" xfId="4495" xr:uid="{00000000-0005-0000-0000-0000450A0000}"/>
    <cellStyle name="Separador de milhares 2 4 13 2 2 2 3" xfId="2492" xr:uid="{00000000-0005-0000-0000-0000460A0000}"/>
    <cellStyle name="Separador de milhares 2 4 13 2 2 2 3 2" xfId="5188" xr:uid="{00000000-0005-0000-0000-0000470A0000}"/>
    <cellStyle name="Separador de milhares 2 4 13 2 2 2 4" xfId="3729" xr:uid="{00000000-0005-0000-0000-0000480A0000}"/>
    <cellStyle name="Separador de milhares 2 4 13 2 2 3" xfId="1462" xr:uid="{00000000-0005-0000-0000-0000490A0000}"/>
    <cellStyle name="Separador de milhares 2 4 13 2 2 3 2" xfId="2742" xr:uid="{00000000-0005-0000-0000-00004A0A0000}"/>
    <cellStyle name="Separador de milhares 2 4 13 2 2 3 2 2" xfId="5438" xr:uid="{00000000-0005-0000-0000-00004B0A0000}"/>
    <cellStyle name="Separador de milhares 2 4 13 2 2 3 3" xfId="4158" xr:uid="{00000000-0005-0000-0000-00004C0A0000}"/>
    <cellStyle name="Separador de milhares 2 4 13 2 2 4" xfId="2242" xr:uid="{00000000-0005-0000-0000-00004D0A0000}"/>
    <cellStyle name="Separador de milhares 2 4 13 2 2 4 2" xfId="4938" xr:uid="{00000000-0005-0000-0000-00004E0A0000}"/>
    <cellStyle name="Separador de milhares 2 4 13 2 2 5" xfId="3392" xr:uid="{00000000-0005-0000-0000-00004F0A0000}"/>
    <cellStyle name="Separador de milhares 2 4 13 2 3" xfId="859" xr:uid="{00000000-0005-0000-0000-0000500A0000}"/>
    <cellStyle name="Separador de milhares 2 4 13 2 3 2" xfId="1626" xr:uid="{00000000-0005-0000-0000-0000510A0000}"/>
    <cellStyle name="Separador de milhares 2 4 13 2 3 2 2" xfId="2867" xr:uid="{00000000-0005-0000-0000-0000520A0000}"/>
    <cellStyle name="Separador de milhares 2 4 13 2 3 2 2 2" xfId="5563" xr:uid="{00000000-0005-0000-0000-0000530A0000}"/>
    <cellStyle name="Separador de milhares 2 4 13 2 3 2 3" xfId="4322" xr:uid="{00000000-0005-0000-0000-0000540A0000}"/>
    <cellStyle name="Separador de milhares 2 4 13 2 3 3" xfId="2367" xr:uid="{00000000-0005-0000-0000-0000550A0000}"/>
    <cellStyle name="Separador de milhares 2 4 13 2 3 3 2" xfId="5063" xr:uid="{00000000-0005-0000-0000-0000560A0000}"/>
    <cellStyle name="Separador de milhares 2 4 13 2 3 4" xfId="3556" xr:uid="{00000000-0005-0000-0000-0000570A0000}"/>
    <cellStyle name="Separador de milhares 2 4 13 2 4" xfId="1289" xr:uid="{00000000-0005-0000-0000-0000580A0000}"/>
    <cellStyle name="Separador de milhares 2 4 13 2 4 2" xfId="2617" xr:uid="{00000000-0005-0000-0000-0000590A0000}"/>
    <cellStyle name="Separador de milhares 2 4 13 2 4 2 2" xfId="5313" xr:uid="{00000000-0005-0000-0000-00005A0A0000}"/>
    <cellStyle name="Separador de milhares 2 4 13 2 4 3" xfId="3985" xr:uid="{00000000-0005-0000-0000-00005B0A0000}"/>
    <cellStyle name="Separador de milhares 2 4 13 2 5" xfId="2117" xr:uid="{00000000-0005-0000-0000-00005C0A0000}"/>
    <cellStyle name="Separador de milhares 2 4 13 2 5 2" xfId="4813" xr:uid="{00000000-0005-0000-0000-00005D0A0000}"/>
    <cellStyle name="Separador de milhares 2 4 13 2 6" xfId="3219" xr:uid="{00000000-0005-0000-0000-00005E0A0000}"/>
    <cellStyle name="Separador de milhares 2 4 13 3" xfId="632" xr:uid="{00000000-0005-0000-0000-00005F0A0000}"/>
    <cellStyle name="Separador de milhares 2 4 13 3 2" xfId="969" xr:uid="{00000000-0005-0000-0000-0000600A0000}"/>
    <cellStyle name="Separador de milhares 2 4 13 3 2 2" xfId="1736" xr:uid="{00000000-0005-0000-0000-0000610A0000}"/>
    <cellStyle name="Separador de milhares 2 4 13 3 2 2 2" xfId="2930" xr:uid="{00000000-0005-0000-0000-0000620A0000}"/>
    <cellStyle name="Separador de milhares 2 4 13 3 2 2 2 2" xfId="5626" xr:uid="{00000000-0005-0000-0000-0000630A0000}"/>
    <cellStyle name="Separador de milhares 2 4 13 3 2 2 3" xfId="4432" xr:uid="{00000000-0005-0000-0000-0000640A0000}"/>
    <cellStyle name="Separador de milhares 2 4 13 3 2 3" xfId="2430" xr:uid="{00000000-0005-0000-0000-0000650A0000}"/>
    <cellStyle name="Separador de milhares 2 4 13 3 2 3 2" xfId="5126" xr:uid="{00000000-0005-0000-0000-0000660A0000}"/>
    <cellStyle name="Separador de milhares 2 4 13 3 2 4" xfId="3666" xr:uid="{00000000-0005-0000-0000-0000670A0000}"/>
    <cellStyle name="Separador de milhares 2 4 13 3 3" xfId="1399" xr:uid="{00000000-0005-0000-0000-0000680A0000}"/>
    <cellStyle name="Separador de milhares 2 4 13 3 3 2" xfId="2680" xr:uid="{00000000-0005-0000-0000-0000690A0000}"/>
    <cellStyle name="Separador de milhares 2 4 13 3 3 2 2" xfId="5376" xr:uid="{00000000-0005-0000-0000-00006A0A0000}"/>
    <cellStyle name="Separador de milhares 2 4 13 3 3 3" xfId="4095" xr:uid="{00000000-0005-0000-0000-00006B0A0000}"/>
    <cellStyle name="Separador de milhares 2 4 13 3 4" xfId="2180" xr:uid="{00000000-0005-0000-0000-00006C0A0000}"/>
    <cellStyle name="Separador de milhares 2 4 13 3 4 2" xfId="4876" xr:uid="{00000000-0005-0000-0000-00006D0A0000}"/>
    <cellStyle name="Separador de milhares 2 4 13 3 5" xfId="3329" xr:uid="{00000000-0005-0000-0000-00006E0A0000}"/>
    <cellStyle name="Separador de milhares 2 4 13 4" xfId="795" xr:uid="{00000000-0005-0000-0000-00006F0A0000}"/>
    <cellStyle name="Separador de milhares 2 4 13 4 2" xfId="1562" xr:uid="{00000000-0005-0000-0000-0000700A0000}"/>
    <cellStyle name="Separador de milhares 2 4 13 4 2 2" xfId="2805" xr:uid="{00000000-0005-0000-0000-0000710A0000}"/>
    <cellStyle name="Separador de milhares 2 4 13 4 2 2 2" xfId="5501" xr:uid="{00000000-0005-0000-0000-0000720A0000}"/>
    <cellStyle name="Separador de milhares 2 4 13 4 2 3" xfId="4258" xr:uid="{00000000-0005-0000-0000-0000730A0000}"/>
    <cellStyle name="Separador de milhares 2 4 13 4 3" xfId="2305" xr:uid="{00000000-0005-0000-0000-0000740A0000}"/>
    <cellStyle name="Separador de milhares 2 4 13 4 3 2" xfId="5001" xr:uid="{00000000-0005-0000-0000-0000750A0000}"/>
    <cellStyle name="Separador de milhares 2 4 13 4 4" xfId="3492" xr:uid="{00000000-0005-0000-0000-0000760A0000}"/>
    <cellStyle name="Separador de milhares 2 4 13 5" xfId="1226" xr:uid="{00000000-0005-0000-0000-0000770A0000}"/>
    <cellStyle name="Separador de milhares 2 4 13 5 2" xfId="2555" xr:uid="{00000000-0005-0000-0000-0000780A0000}"/>
    <cellStyle name="Separador de milhares 2 4 13 5 2 2" xfId="5251" xr:uid="{00000000-0005-0000-0000-0000790A0000}"/>
    <cellStyle name="Separador de milhares 2 4 13 5 3" xfId="3922" xr:uid="{00000000-0005-0000-0000-00007A0A0000}"/>
    <cellStyle name="Separador de milhares 2 4 13 6" xfId="2055" xr:uid="{00000000-0005-0000-0000-00007B0A0000}"/>
    <cellStyle name="Separador de milhares 2 4 13 6 2" xfId="4751" xr:uid="{00000000-0005-0000-0000-00007C0A0000}"/>
    <cellStyle name="Separador de milhares 2 4 13 7" xfId="3155" xr:uid="{00000000-0005-0000-0000-00007D0A0000}"/>
    <cellStyle name="Separador de milhares 2 4 14" xfId="1999" xr:uid="{00000000-0005-0000-0000-00007E0A0000}"/>
    <cellStyle name="Separador de milhares 2 4 14 2" xfId="4695" xr:uid="{00000000-0005-0000-0000-00007F0A0000}"/>
    <cellStyle name="Separador de milhares 2 4 15" xfId="3097" xr:uid="{00000000-0005-0000-0000-0000800A0000}"/>
    <cellStyle name="Separador de milhares 2 4 2" xfId="378" xr:uid="{00000000-0005-0000-0000-0000810A0000}"/>
    <cellStyle name="Separador de milhares 2 4 2 2" xfId="470" xr:uid="{00000000-0005-0000-0000-0000820A0000}"/>
    <cellStyle name="Separador de milhares 2 4 2 2 2" xfId="535" xr:uid="{00000000-0005-0000-0000-0000830A0000}"/>
    <cellStyle name="Separador de milhares 2 4 2 2 2 2" xfId="709" xr:uid="{00000000-0005-0000-0000-0000840A0000}"/>
    <cellStyle name="Separador de milhares 2 4 2 2 2 2 2" xfId="1046" xr:uid="{00000000-0005-0000-0000-0000850A0000}"/>
    <cellStyle name="Separador de milhares 2 4 2 2 2 2 2 2" xfId="1813" xr:uid="{00000000-0005-0000-0000-0000860A0000}"/>
    <cellStyle name="Separador de milhares 2 4 2 2 2 2 2 2 2" xfId="3006" xr:uid="{00000000-0005-0000-0000-0000870A0000}"/>
    <cellStyle name="Separador de milhares 2 4 2 2 2 2 2 2 2 2" xfId="5702" xr:uid="{00000000-0005-0000-0000-0000880A0000}"/>
    <cellStyle name="Separador de milhares 2 4 2 2 2 2 2 2 3" xfId="4509" xr:uid="{00000000-0005-0000-0000-0000890A0000}"/>
    <cellStyle name="Separador de milhares 2 4 2 2 2 2 2 3" xfId="2506" xr:uid="{00000000-0005-0000-0000-00008A0A0000}"/>
    <cellStyle name="Separador de milhares 2 4 2 2 2 2 2 3 2" xfId="5202" xr:uid="{00000000-0005-0000-0000-00008B0A0000}"/>
    <cellStyle name="Separador de milhares 2 4 2 2 2 2 2 4" xfId="3743" xr:uid="{00000000-0005-0000-0000-00008C0A0000}"/>
    <cellStyle name="Separador de milhares 2 4 2 2 2 2 3" xfId="1476" xr:uid="{00000000-0005-0000-0000-00008D0A0000}"/>
    <cellStyle name="Separador de milhares 2 4 2 2 2 2 3 2" xfId="2756" xr:uid="{00000000-0005-0000-0000-00008E0A0000}"/>
    <cellStyle name="Separador de milhares 2 4 2 2 2 2 3 2 2" xfId="5452" xr:uid="{00000000-0005-0000-0000-00008F0A0000}"/>
    <cellStyle name="Separador de milhares 2 4 2 2 2 2 3 3" xfId="4172" xr:uid="{00000000-0005-0000-0000-0000900A0000}"/>
    <cellStyle name="Separador de milhares 2 4 2 2 2 2 4" xfId="2256" xr:uid="{00000000-0005-0000-0000-0000910A0000}"/>
    <cellStyle name="Separador de milhares 2 4 2 2 2 2 4 2" xfId="4952" xr:uid="{00000000-0005-0000-0000-0000920A0000}"/>
    <cellStyle name="Separador de milhares 2 4 2 2 2 2 5" xfId="3406" xr:uid="{00000000-0005-0000-0000-0000930A0000}"/>
    <cellStyle name="Separador de milhares 2 4 2 2 2 3" xfId="873" xr:uid="{00000000-0005-0000-0000-0000940A0000}"/>
    <cellStyle name="Separador de milhares 2 4 2 2 2 3 2" xfId="1640" xr:uid="{00000000-0005-0000-0000-0000950A0000}"/>
    <cellStyle name="Separador de milhares 2 4 2 2 2 3 2 2" xfId="2881" xr:uid="{00000000-0005-0000-0000-0000960A0000}"/>
    <cellStyle name="Separador de milhares 2 4 2 2 2 3 2 2 2" xfId="5577" xr:uid="{00000000-0005-0000-0000-0000970A0000}"/>
    <cellStyle name="Separador de milhares 2 4 2 2 2 3 2 3" xfId="4336" xr:uid="{00000000-0005-0000-0000-0000980A0000}"/>
    <cellStyle name="Separador de milhares 2 4 2 2 2 3 3" xfId="2381" xr:uid="{00000000-0005-0000-0000-0000990A0000}"/>
    <cellStyle name="Separador de milhares 2 4 2 2 2 3 3 2" xfId="5077" xr:uid="{00000000-0005-0000-0000-00009A0A0000}"/>
    <cellStyle name="Separador de milhares 2 4 2 2 2 3 4" xfId="3570" xr:uid="{00000000-0005-0000-0000-00009B0A0000}"/>
    <cellStyle name="Separador de milhares 2 4 2 2 2 4" xfId="1303" xr:uid="{00000000-0005-0000-0000-00009C0A0000}"/>
    <cellStyle name="Separador de milhares 2 4 2 2 2 4 2" xfId="2631" xr:uid="{00000000-0005-0000-0000-00009D0A0000}"/>
    <cellStyle name="Separador de milhares 2 4 2 2 2 4 2 2" xfId="5327" xr:uid="{00000000-0005-0000-0000-00009E0A0000}"/>
    <cellStyle name="Separador de milhares 2 4 2 2 2 4 3" xfId="3999" xr:uid="{00000000-0005-0000-0000-00009F0A0000}"/>
    <cellStyle name="Separador de milhares 2 4 2 2 2 5" xfId="2131" xr:uid="{00000000-0005-0000-0000-0000A00A0000}"/>
    <cellStyle name="Separador de milhares 2 4 2 2 2 5 2" xfId="4827" xr:uid="{00000000-0005-0000-0000-0000A10A0000}"/>
    <cellStyle name="Separador de milhares 2 4 2 2 2 6" xfId="3233" xr:uid="{00000000-0005-0000-0000-0000A20A0000}"/>
    <cellStyle name="Separador de milhares 2 4 2 2 3" xfId="646" xr:uid="{00000000-0005-0000-0000-0000A30A0000}"/>
    <cellStyle name="Separador de milhares 2 4 2 2 3 2" xfId="983" xr:uid="{00000000-0005-0000-0000-0000A40A0000}"/>
    <cellStyle name="Separador de milhares 2 4 2 2 3 2 2" xfId="1750" xr:uid="{00000000-0005-0000-0000-0000A50A0000}"/>
    <cellStyle name="Separador de milhares 2 4 2 2 3 2 2 2" xfId="2944" xr:uid="{00000000-0005-0000-0000-0000A60A0000}"/>
    <cellStyle name="Separador de milhares 2 4 2 2 3 2 2 2 2" xfId="5640" xr:uid="{00000000-0005-0000-0000-0000A70A0000}"/>
    <cellStyle name="Separador de milhares 2 4 2 2 3 2 2 3" xfId="4446" xr:uid="{00000000-0005-0000-0000-0000A80A0000}"/>
    <cellStyle name="Separador de milhares 2 4 2 2 3 2 3" xfId="2444" xr:uid="{00000000-0005-0000-0000-0000A90A0000}"/>
    <cellStyle name="Separador de milhares 2 4 2 2 3 2 3 2" xfId="5140" xr:uid="{00000000-0005-0000-0000-0000AA0A0000}"/>
    <cellStyle name="Separador de milhares 2 4 2 2 3 2 4" xfId="3680" xr:uid="{00000000-0005-0000-0000-0000AB0A0000}"/>
    <cellStyle name="Separador de milhares 2 4 2 2 3 3" xfId="1413" xr:uid="{00000000-0005-0000-0000-0000AC0A0000}"/>
    <cellStyle name="Separador de milhares 2 4 2 2 3 3 2" xfId="2694" xr:uid="{00000000-0005-0000-0000-0000AD0A0000}"/>
    <cellStyle name="Separador de milhares 2 4 2 2 3 3 2 2" xfId="5390" xr:uid="{00000000-0005-0000-0000-0000AE0A0000}"/>
    <cellStyle name="Separador de milhares 2 4 2 2 3 3 3" xfId="4109" xr:uid="{00000000-0005-0000-0000-0000AF0A0000}"/>
    <cellStyle name="Separador de milhares 2 4 2 2 3 4" xfId="2194" xr:uid="{00000000-0005-0000-0000-0000B00A0000}"/>
    <cellStyle name="Separador de milhares 2 4 2 2 3 4 2" xfId="4890" xr:uid="{00000000-0005-0000-0000-0000B10A0000}"/>
    <cellStyle name="Separador de milhares 2 4 2 2 3 5" xfId="3343" xr:uid="{00000000-0005-0000-0000-0000B20A0000}"/>
    <cellStyle name="Separador de milhares 2 4 2 2 4" xfId="809" xr:uid="{00000000-0005-0000-0000-0000B30A0000}"/>
    <cellStyle name="Separador de milhares 2 4 2 2 4 2" xfId="1576" xr:uid="{00000000-0005-0000-0000-0000B40A0000}"/>
    <cellStyle name="Separador de milhares 2 4 2 2 4 2 2" xfId="2819" xr:uid="{00000000-0005-0000-0000-0000B50A0000}"/>
    <cellStyle name="Separador de milhares 2 4 2 2 4 2 2 2" xfId="5515" xr:uid="{00000000-0005-0000-0000-0000B60A0000}"/>
    <cellStyle name="Separador de milhares 2 4 2 2 4 2 3" xfId="4272" xr:uid="{00000000-0005-0000-0000-0000B70A0000}"/>
    <cellStyle name="Separador de milhares 2 4 2 2 4 3" xfId="2319" xr:uid="{00000000-0005-0000-0000-0000B80A0000}"/>
    <cellStyle name="Separador de milhares 2 4 2 2 4 3 2" xfId="5015" xr:uid="{00000000-0005-0000-0000-0000B90A0000}"/>
    <cellStyle name="Separador de milhares 2 4 2 2 4 4" xfId="3506" xr:uid="{00000000-0005-0000-0000-0000BA0A0000}"/>
    <cellStyle name="Separador de milhares 2 4 2 2 5" xfId="1240" xr:uid="{00000000-0005-0000-0000-0000BB0A0000}"/>
    <cellStyle name="Separador de milhares 2 4 2 2 5 2" xfId="2569" xr:uid="{00000000-0005-0000-0000-0000BC0A0000}"/>
    <cellStyle name="Separador de milhares 2 4 2 2 5 2 2" xfId="5265" xr:uid="{00000000-0005-0000-0000-0000BD0A0000}"/>
    <cellStyle name="Separador de milhares 2 4 2 2 5 3" xfId="3936" xr:uid="{00000000-0005-0000-0000-0000BE0A0000}"/>
    <cellStyle name="Separador de milhares 2 4 2 2 6" xfId="2069" xr:uid="{00000000-0005-0000-0000-0000BF0A0000}"/>
    <cellStyle name="Separador de milhares 2 4 2 2 6 2" xfId="4765" xr:uid="{00000000-0005-0000-0000-0000C00A0000}"/>
    <cellStyle name="Separador de milhares 2 4 2 2 7" xfId="3169" xr:uid="{00000000-0005-0000-0000-0000C10A0000}"/>
    <cellStyle name="Separador de milhares 2 4 2 3" xfId="2014" xr:uid="{00000000-0005-0000-0000-0000C20A0000}"/>
    <cellStyle name="Separador de milhares 2 4 2 3 2" xfId="4710" xr:uid="{00000000-0005-0000-0000-0000C30A0000}"/>
    <cellStyle name="Separador de milhares 2 4 2 4" xfId="3113" xr:uid="{00000000-0005-0000-0000-0000C40A0000}"/>
    <cellStyle name="Separador de milhares 2 4 3" xfId="379" xr:uid="{00000000-0005-0000-0000-0000C50A0000}"/>
    <cellStyle name="Separador de milhares 2 4 3 2" xfId="471" xr:uid="{00000000-0005-0000-0000-0000C60A0000}"/>
    <cellStyle name="Separador de milhares 2 4 3 2 2" xfId="536" xr:uid="{00000000-0005-0000-0000-0000C70A0000}"/>
    <cellStyle name="Separador de milhares 2 4 3 2 2 2" xfId="710" xr:uid="{00000000-0005-0000-0000-0000C80A0000}"/>
    <cellStyle name="Separador de milhares 2 4 3 2 2 2 2" xfId="1047" xr:uid="{00000000-0005-0000-0000-0000C90A0000}"/>
    <cellStyle name="Separador de milhares 2 4 3 2 2 2 2 2" xfId="1814" xr:uid="{00000000-0005-0000-0000-0000CA0A0000}"/>
    <cellStyle name="Separador de milhares 2 4 3 2 2 2 2 2 2" xfId="3007" xr:uid="{00000000-0005-0000-0000-0000CB0A0000}"/>
    <cellStyle name="Separador de milhares 2 4 3 2 2 2 2 2 2 2" xfId="5703" xr:uid="{00000000-0005-0000-0000-0000CC0A0000}"/>
    <cellStyle name="Separador de milhares 2 4 3 2 2 2 2 2 3" xfId="4510" xr:uid="{00000000-0005-0000-0000-0000CD0A0000}"/>
    <cellStyle name="Separador de milhares 2 4 3 2 2 2 2 3" xfId="2507" xr:uid="{00000000-0005-0000-0000-0000CE0A0000}"/>
    <cellStyle name="Separador de milhares 2 4 3 2 2 2 2 3 2" xfId="5203" xr:uid="{00000000-0005-0000-0000-0000CF0A0000}"/>
    <cellStyle name="Separador de milhares 2 4 3 2 2 2 2 4" xfId="3744" xr:uid="{00000000-0005-0000-0000-0000D00A0000}"/>
    <cellStyle name="Separador de milhares 2 4 3 2 2 2 3" xfId="1477" xr:uid="{00000000-0005-0000-0000-0000D10A0000}"/>
    <cellStyle name="Separador de milhares 2 4 3 2 2 2 3 2" xfId="2757" xr:uid="{00000000-0005-0000-0000-0000D20A0000}"/>
    <cellStyle name="Separador de milhares 2 4 3 2 2 2 3 2 2" xfId="5453" xr:uid="{00000000-0005-0000-0000-0000D30A0000}"/>
    <cellStyle name="Separador de milhares 2 4 3 2 2 2 3 3" xfId="4173" xr:uid="{00000000-0005-0000-0000-0000D40A0000}"/>
    <cellStyle name="Separador de milhares 2 4 3 2 2 2 4" xfId="2257" xr:uid="{00000000-0005-0000-0000-0000D50A0000}"/>
    <cellStyle name="Separador de milhares 2 4 3 2 2 2 4 2" xfId="4953" xr:uid="{00000000-0005-0000-0000-0000D60A0000}"/>
    <cellStyle name="Separador de milhares 2 4 3 2 2 2 5" xfId="3407" xr:uid="{00000000-0005-0000-0000-0000D70A0000}"/>
    <cellStyle name="Separador de milhares 2 4 3 2 2 3" xfId="874" xr:uid="{00000000-0005-0000-0000-0000D80A0000}"/>
    <cellStyle name="Separador de milhares 2 4 3 2 2 3 2" xfId="1641" xr:uid="{00000000-0005-0000-0000-0000D90A0000}"/>
    <cellStyle name="Separador de milhares 2 4 3 2 2 3 2 2" xfId="2882" xr:uid="{00000000-0005-0000-0000-0000DA0A0000}"/>
    <cellStyle name="Separador de milhares 2 4 3 2 2 3 2 2 2" xfId="5578" xr:uid="{00000000-0005-0000-0000-0000DB0A0000}"/>
    <cellStyle name="Separador de milhares 2 4 3 2 2 3 2 3" xfId="4337" xr:uid="{00000000-0005-0000-0000-0000DC0A0000}"/>
    <cellStyle name="Separador de milhares 2 4 3 2 2 3 3" xfId="2382" xr:uid="{00000000-0005-0000-0000-0000DD0A0000}"/>
    <cellStyle name="Separador de milhares 2 4 3 2 2 3 3 2" xfId="5078" xr:uid="{00000000-0005-0000-0000-0000DE0A0000}"/>
    <cellStyle name="Separador de milhares 2 4 3 2 2 3 4" xfId="3571" xr:uid="{00000000-0005-0000-0000-0000DF0A0000}"/>
    <cellStyle name="Separador de milhares 2 4 3 2 2 4" xfId="1304" xr:uid="{00000000-0005-0000-0000-0000E00A0000}"/>
    <cellStyle name="Separador de milhares 2 4 3 2 2 4 2" xfId="2632" xr:uid="{00000000-0005-0000-0000-0000E10A0000}"/>
    <cellStyle name="Separador de milhares 2 4 3 2 2 4 2 2" xfId="5328" xr:uid="{00000000-0005-0000-0000-0000E20A0000}"/>
    <cellStyle name="Separador de milhares 2 4 3 2 2 4 3" xfId="4000" xr:uid="{00000000-0005-0000-0000-0000E30A0000}"/>
    <cellStyle name="Separador de milhares 2 4 3 2 2 5" xfId="2132" xr:uid="{00000000-0005-0000-0000-0000E40A0000}"/>
    <cellStyle name="Separador de milhares 2 4 3 2 2 5 2" xfId="4828" xr:uid="{00000000-0005-0000-0000-0000E50A0000}"/>
    <cellStyle name="Separador de milhares 2 4 3 2 2 6" xfId="3234" xr:uid="{00000000-0005-0000-0000-0000E60A0000}"/>
    <cellStyle name="Separador de milhares 2 4 3 2 3" xfId="647" xr:uid="{00000000-0005-0000-0000-0000E70A0000}"/>
    <cellStyle name="Separador de milhares 2 4 3 2 3 2" xfId="984" xr:uid="{00000000-0005-0000-0000-0000E80A0000}"/>
    <cellStyle name="Separador de milhares 2 4 3 2 3 2 2" xfId="1751" xr:uid="{00000000-0005-0000-0000-0000E90A0000}"/>
    <cellStyle name="Separador de milhares 2 4 3 2 3 2 2 2" xfId="2945" xr:uid="{00000000-0005-0000-0000-0000EA0A0000}"/>
    <cellStyle name="Separador de milhares 2 4 3 2 3 2 2 2 2" xfId="5641" xr:uid="{00000000-0005-0000-0000-0000EB0A0000}"/>
    <cellStyle name="Separador de milhares 2 4 3 2 3 2 2 3" xfId="4447" xr:uid="{00000000-0005-0000-0000-0000EC0A0000}"/>
    <cellStyle name="Separador de milhares 2 4 3 2 3 2 3" xfId="2445" xr:uid="{00000000-0005-0000-0000-0000ED0A0000}"/>
    <cellStyle name="Separador de milhares 2 4 3 2 3 2 3 2" xfId="5141" xr:uid="{00000000-0005-0000-0000-0000EE0A0000}"/>
    <cellStyle name="Separador de milhares 2 4 3 2 3 2 4" xfId="3681" xr:uid="{00000000-0005-0000-0000-0000EF0A0000}"/>
    <cellStyle name="Separador de milhares 2 4 3 2 3 3" xfId="1414" xr:uid="{00000000-0005-0000-0000-0000F00A0000}"/>
    <cellStyle name="Separador de milhares 2 4 3 2 3 3 2" xfId="2695" xr:uid="{00000000-0005-0000-0000-0000F10A0000}"/>
    <cellStyle name="Separador de milhares 2 4 3 2 3 3 2 2" xfId="5391" xr:uid="{00000000-0005-0000-0000-0000F20A0000}"/>
    <cellStyle name="Separador de milhares 2 4 3 2 3 3 3" xfId="4110" xr:uid="{00000000-0005-0000-0000-0000F30A0000}"/>
    <cellStyle name="Separador de milhares 2 4 3 2 3 4" xfId="2195" xr:uid="{00000000-0005-0000-0000-0000F40A0000}"/>
    <cellStyle name="Separador de milhares 2 4 3 2 3 4 2" xfId="4891" xr:uid="{00000000-0005-0000-0000-0000F50A0000}"/>
    <cellStyle name="Separador de milhares 2 4 3 2 3 5" xfId="3344" xr:uid="{00000000-0005-0000-0000-0000F60A0000}"/>
    <cellStyle name="Separador de milhares 2 4 3 2 4" xfId="810" xr:uid="{00000000-0005-0000-0000-0000F70A0000}"/>
    <cellStyle name="Separador de milhares 2 4 3 2 4 2" xfId="1577" xr:uid="{00000000-0005-0000-0000-0000F80A0000}"/>
    <cellStyle name="Separador de milhares 2 4 3 2 4 2 2" xfId="2820" xr:uid="{00000000-0005-0000-0000-0000F90A0000}"/>
    <cellStyle name="Separador de milhares 2 4 3 2 4 2 2 2" xfId="5516" xr:uid="{00000000-0005-0000-0000-0000FA0A0000}"/>
    <cellStyle name="Separador de milhares 2 4 3 2 4 2 3" xfId="4273" xr:uid="{00000000-0005-0000-0000-0000FB0A0000}"/>
    <cellStyle name="Separador de milhares 2 4 3 2 4 3" xfId="2320" xr:uid="{00000000-0005-0000-0000-0000FC0A0000}"/>
    <cellStyle name="Separador de milhares 2 4 3 2 4 3 2" xfId="5016" xr:uid="{00000000-0005-0000-0000-0000FD0A0000}"/>
    <cellStyle name="Separador de milhares 2 4 3 2 4 4" xfId="3507" xr:uid="{00000000-0005-0000-0000-0000FE0A0000}"/>
    <cellStyle name="Separador de milhares 2 4 3 2 5" xfId="1241" xr:uid="{00000000-0005-0000-0000-0000FF0A0000}"/>
    <cellStyle name="Separador de milhares 2 4 3 2 5 2" xfId="2570" xr:uid="{00000000-0005-0000-0000-0000000B0000}"/>
    <cellStyle name="Separador de milhares 2 4 3 2 5 2 2" xfId="5266" xr:uid="{00000000-0005-0000-0000-0000010B0000}"/>
    <cellStyle name="Separador de milhares 2 4 3 2 5 3" xfId="3937" xr:uid="{00000000-0005-0000-0000-0000020B0000}"/>
    <cellStyle name="Separador de milhares 2 4 3 2 6" xfId="2070" xr:uid="{00000000-0005-0000-0000-0000030B0000}"/>
    <cellStyle name="Separador de milhares 2 4 3 2 6 2" xfId="4766" xr:uid="{00000000-0005-0000-0000-0000040B0000}"/>
    <cellStyle name="Separador de milhares 2 4 3 2 7" xfId="3170" xr:uid="{00000000-0005-0000-0000-0000050B0000}"/>
    <cellStyle name="Separador de milhares 2 4 3 3" xfId="2015" xr:uid="{00000000-0005-0000-0000-0000060B0000}"/>
    <cellStyle name="Separador de milhares 2 4 3 3 2" xfId="4711" xr:uid="{00000000-0005-0000-0000-0000070B0000}"/>
    <cellStyle name="Separador de milhares 2 4 3 4" xfId="3114" xr:uid="{00000000-0005-0000-0000-0000080B0000}"/>
    <cellStyle name="Separador de milhares 2 4 4" xfId="380" xr:uid="{00000000-0005-0000-0000-0000090B0000}"/>
    <cellStyle name="Separador de milhares 2 4 4 2" xfId="472" xr:uid="{00000000-0005-0000-0000-00000A0B0000}"/>
    <cellStyle name="Separador de milhares 2 4 4 2 2" xfId="537" xr:uid="{00000000-0005-0000-0000-00000B0B0000}"/>
    <cellStyle name="Separador de milhares 2 4 4 2 2 2" xfId="711" xr:uid="{00000000-0005-0000-0000-00000C0B0000}"/>
    <cellStyle name="Separador de milhares 2 4 4 2 2 2 2" xfId="1048" xr:uid="{00000000-0005-0000-0000-00000D0B0000}"/>
    <cellStyle name="Separador de milhares 2 4 4 2 2 2 2 2" xfId="1815" xr:uid="{00000000-0005-0000-0000-00000E0B0000}"/>
    <cellStyle name="Separador de milhares 2 4 4 2 2 2 2 2 2" xfId="3008" xr:uid="{00000000-0005-0000-0000-00000F0B0000}"/>
    <cellStyle name="Separador de milhares 2 4 4 2 2 2 2 2 2 2" xfId="5704" xr:uid="{00000000-0005-0000-0000-0000100B0000}"/>
    <cellStyle name="Separador de milhares 2 4 4 2 2 2 2 2 3" xfId="4511" xr:uid="{00000000-0005-0000-0000-0000110B0000}"/>
    <cellStyle name="Separador de milhares 2 4 4 2 2 2 2 3" xfId="2508" xr:uid="{00000000-0005-0000-0000-0000120B0000}"/>
    <cellStyle name="Separador de milhares 2 4 4 2 2 2 2 3 2" xfId="5204" xr:uid="{00000000-0005-0000-0000-0000130B0000}"/>
    <cellStyle name="Separador de milhares 2 4 4 2 2 2 2 4" xfId="3745" xr:uid="{00000000-0005-0000-0000-0000140B0000}"/>
    <cellStyle name="Separador de milhares 2 4 4 2 2 2 3" xfId="1478" xr:uid="{00000000-0005-0000-0000-0000150B0000}"/>
    <cellStyle name="Separador de milhares 2 4 4 2 2 2 3 2" xfId="2758" xr:uid="{00000000-0005-0000-0000-0000160B0000}"/>
    <cellStyle name="Separador de milhares 2 4 4 2 2 2 3 2 2" xfId="5454" xr:uid="{00000000-0005-0000-0000-0000170B0000}"/>
    <cellStyle name="Separador de milhares 2 4 4 2 2 2 3 3" xfId="4174" xr:uid="{00000000-0005-0000-0000-0000180B0000}"/>
    <cellStyle name="Separador de milhares 2 4 4 2 2 2 4" xfId="2258" xr:uid="{00000000-0005-0000-0000-0000190B0000}"/>
    <cellStyle name="Separador de milhares 2 4 4 2 2 2 4 2" xfId="4954" xr:uid="{00000000-0005-0000-0000-00001A0B0000}"/>
    <cellStyle name="Separador de milhares 2 4 4 2 2 2 5" xfId="3408" xr:uid="{00000000-0005-0000-0000-00001B0B0000}"/>
    <cellStyle name="Separador de milhares 2 4 4 2 2 3" xfId="875" xr:uid="{00000000-0005-0000-0000-00001C0B0000}"/>
    <cellStyle name="Separador de milhares 2 4 4 2 2 3 2" xfId="1642" xr:uid="{00000000-0005-0000-0000-00001D0B0000}"/>
    <cellStyle name="Separador de milhares 2 4 4 2 2 3 2 2" xfId="2883" xr:uid="{00000000-0005-0000-0000-00001E0B0000}"/>
    <cellStyle name="Separador de milhares 2 4 4 2 2 3 2 2 2" xfId="5579" xr:uid="{00000000-0005-0000-0000-00001F0B0000}"/>
    <cellStyle name="Separador de milhares 2 4 4 2 2 3 2 3" xfId="4338" xr:uid="{00000000-0005-0000-0000-0000200B0000}"/>
    <cellStyle name="Separador de milhares 2 4 4 2 2 3 3" xfId="2383" xr:uid="{00000000-0005-0000-0000-0000210B0000}"/>
    <cellStyle name="Separador de milhares 2 4 4 2 2 3 3 2" xfId="5079" xr:uid="{00000000-0005-0000-0000-0000220B0000}"/>
    <cellStyle name="Separador de milhares 2 4 4 2 2 3 4" xfId="3572" xr:uid="{00000000-0005-0000-0000-0000230B0000}"/>
    <cellStyle name="Separador de milhares 2 4 4 2 2 4" xfId="1305" xr:uid="{00000000-0005-0000-0000-0000240B0000}"/>
    <cellStyle name="Separador de milhares 2 4 4 2 2 4 2" xfId="2633" xr:uid="{00000000-0005-0000-0000-0000250B0000}"/>
    <cellStyle name="Separador de milhares 2 4 4 2 2 4 2 2" xfId="5329" xr:uid="{00000000-0005-0000-0000-0000260B0000}"/>
    <cellStyle name="Separador de milhares 2 4 4 2 2 4 3" xfId="4001" xr:uid="{00000000-0005-0000-0000-0000270B0000}"/>
    <cellStyle name="Separador de milhares 2 4 4 2 2 5" xfId="2133" xr:uid="{00000000-0005-0000-0000-0000280B0000}"/>
    <cellStyle name="Separador de milhares 2 4 4 2 2 5 2" xfId="4829" xr:uid="{00000000-0005-0000-0000-0000290B0000}"/>
    <cellStyle name="Separador de milhares 2 4 4 2 2 6" xfId="3235" xr:uid="{00000000-0005-0000-0000-00002A0B0000}"/>
    <cellStyle name="Separador de milhares 2 4 4 2 3" xfId="648" xr:uid="{00000000-0005-0000-0000-00002B0B0000}"/>
    <cellStyle name="Separador de milhares 2 4 4 2 3 2" xfId="985" xr:uid="{00000000-0005-0000-0000-00002C0B0000}"/>
    <cellStyle name="Separador de milhares 2 4 4 2 3 2 2" xfId="1752" xr:uid="{00000000-0005-0000-0000-00002D0B0000}"/>
    <cellStyle name="Separador de milhares 2 4 4 2 3 2 2 2" xfId="2946" xr:uid="{00000000-0005-0000-0000-00002E0B0000}"/>
    <cellStyle name="Separador de milhares 2 4 4 2 3 2 2 2 2" xfId="5642" xr:uid="{00000000-0005-0000-0000-00002F0B0000}"/>
    <cellStyle name="Separador de milhares 2 4 4 2 3 2 2 3" xfId="4448" xr:uid="{00000000-0005-0000-0000-0000300B0000}"/>
    <cellStyle name="Separador de milhares 2 4 4 2 3 2 3" xfId="2446" xr:uid="{00000000-0005-0000-0000-0000310B0000}"/>
    <cellStyle name="Separador de milhares 2 4 4 2 3 2 3 2" xfId="5142" xr:uid="{00000000-0005-0000-0000-0000320B0000}"/>
    <cellStyle name="Separador de milhares 2 4 4 2 3 2 4" xfId="3682" xr:uid="{00000000-0005-0000-0000-0000330B0000}"/>
    <cellStyle name="Separador de milhares 2 4 4 2 3 3" xfId="1415" xr:uid="{00000000-0005-0000-0000-0000340B0000}"/>
    <cellStyle name="Separador de milhares 2 4 4 2 3 3 2" xfId="2696" xr:uid="{00000000-0005-0000-0000-0000350B0000}"/>
    <cellStyle name="Separador de milhares 2 4 4 2 3 3 2 2" xfId="5392" xr:uid="{00000000-0005-0000-0000-0000360B0000}"/>
    <cellStyle name="Separador de milhares 2 4 4 2 3 3 3" xfId="4111" xr:uid="{00000000-0005-0000-0000-0000370B0000}"/>
    <cellStyle name="Separador de milhares 2 4 4 2 3 4" xfId="2196" xr:uid="{00000000-0005-0000-0000-0000380B0000}"/>
    <cellStyle name="Separador de milhares 2 4 4 2 3 4 2" xfId="4892" xr:uid="{00000000-0005-0000-0000-0000390B0000}"/>
    <cellStyle name="Separador de milhares 2 4 4 2 3 5" xfId="3345" xr:uid="{00000000-0005-0000-0000-00003A0B0000}"/>
    <cellStyle name="Separador de milhares 2 4 4 2 4" xfId="811" xr:uid="{00000000-0005-0000-0000-00003B0B0000}"/>
    <cellStyle name="Separador de milhares 2 4 4 2 4 2" xfId="1578" xr:uid="{00000000-0005-0000-0000-00003C0B0000}"/>
    <cellStyle name="Separador de milhares 2 4 4 2 4 2 2" xfId="2821" xr:uid="{00000000-0005-0000-0000-00003D0B0000}"/>
    <cellStyle name="Separador de milhares 2 4 4 2 4 2 2 2" xfId="5517" xr:uid="{00000000-0005-0000-0000-00003E0B0000}"/>
    <cellStyle name="Separador de milhares 2 4 4 2 4 2 3" xfId="4274" xr:uid="{00000000-0005-0000-0000-00003F0B0000}"/>
    <cellStyle name="Separador de milhares 2 4 4 2 4 3" xfId="2321" xr:uid="{00000000-0005-0000-0000-0000400B0000}"/>
    <cellStyle name="Separador de milhares 2 4 4 2 4 3 2" xfId="5017" xr:uid="{00000000-0005-0000-0000-0000410B0000}"/>
    <cellStyle name="Separador de milhares 2 4 4 2 4 4" xfId="3508" xr:uid="{00000000-0005-0000-0000-0000420B0000}"/>
    <cellStyle name="Separador de milhares 2 4 4 2 5" xfId="1242" xr:uid="{00000000-0005-0000-0000-0000430B0000}"/>
    <cellStyle name="Separador de milhares 2 4 4 2 5 2" xfId="2571" xr:uid="{00000000-0005-0000-0000-0000440B0000}"/>
    <cellStyle name="Separador de milhares 2 4 4 2 5 2 2" xfId="5267" xr:uid="{00000000-0005-0000-0000-0000450B0000}"/>
    <cellStyle name="Separador de milhares 2 4 4 2 5 3" xfId="3938" xr:uid="{00000000-0005-0000-0000-0000460B0000}"/>
    <cellStyle name="Separador de milhares 2 4 4 2 6" xfId="2071" xr:uid="{00000000-0005-0000-0000-0000470B0000}"/>
    <cellStyle name="Separador de milhares 2 4 4 2 6 2" xfId="4767" xr:uid="{00000000-0005-0000-0000-0000480B0000}"/>
    <cellStyle name="Separador de milhares 2 4 4 2 7" xfId="3171" xr:uid="{00000000-0005-0000-0000-0000490B0000}"/>
    <cellStyle name="Separador de milhares 2 4 4 3" xfId="2016" xr:uid="{00000000-0005-0000-0000-00004A0B0000}"/>
    <cellStyle name="Separador de milhares 2 4 4 3 2" xfId="4712" xr:uid="{00000000-0005-0000-0000-00004B0B0000}"/>
    <cellStyle name="Separador de milhares 2 4 4 4" xfId="3115" xr:uid="{00000000-0005-0000-0000-00004C0B0000}"/>
    <cellStyle name="Separador de milhares 2 4 5" xfId="381" xr:uid="{00000000-0005-0000-0000-00004D0B0000}"/>
    <cellStyle name="Separador de milhares 2 4 5 2" xfId="473" xr:uid="{00000000-0005-0000-0000-00004E0B0000}"/>
    <cellStyle name="Separador de milhares 2 4 5 2 2" xfId="538" xr:uid="{00000000-0005-0000-0000-00004F0B0000}"/>
    <cellStyle name="Separador de milhares 2 4 5 2 2 2" xfId="712" xr:uid="{00000000-0005-0000-0000-0000500B0000}"/>
    <cellStyle name="Separador de milhares 2 4 5 2 2 2 2" xfId="1049" xr:uid="{00000000-0005-0000-0000-0000510B0000}"/>
    <cellStyle name="Separador de milhares 2 4 5 2 2 2 2 2" xfId="1816" xr:uid="{00000000-0005-0000-0000-0000520B0000}"/>
    <cellStyle name="Separador de milhares 2 4 5 2 2 2 2 2 2" xfId="3009" xr:uid="{00000000-0005-0000-0000-0000530B0000}"/>
    <cellStyle name="Separador de milhares 2 4 5 2 2 2 2 2 2 2" xfId="5705" xr:uid="{00000000-0005-0000-0000-0000540B0000}"/>
    <cellStyle name="Separador de milhares 2 4 5 2 2 2 2 2 3" xfId="4512" xr:uid="{00000000-0005-0000-0000-0000550B0000}"/>
    <cellStyle name="Separador de milhares 2 4 5 2 2 2 2 3" xfId="2509" xr:uid="{00000000-0005-0000-0000-0000560B0000}"/>
    <cellStyle name="Separador de milhares 2 4 5 2 2 2 2 3 2" xfId="5205" xr:uid="{00000000-0005-0000-0000-0000570B0000}"/>
    <cellStyle name="Separador de milhares 2 4 5 2 2 2 2 4" xfId="3746" xr:uid="{00000000-0005-0000-0000-0000580B0000}"/>
    <cellStyle name="Separador de milhares 2 4 5 2 2 2 3" xfId="1479" xr:uid="{00000000-0005-0000-0000-0000590B0000}"/>
    <cellStyle name="Separador de milhares 2 4 5 2 2 2 3 2" xfId="2759" xr:uid="{00000000-0005-0000-0000-00005A0B0000}"/>
    <cellStyle name="Separador de milhares 2 4 5 2 2 2 3 2 2" xfId="5455" xr:uid="{00000000-0005-0000-0000-00005B0B0000}"/>
    <cellStyle name="Separador de milhares 2 4 5 2 2 2 3 3" xfId="4175" xr:uid="{00000000-0005-0000-0000-00005C0B0000}"/>
    <cellStyle name="Separador de milhares 2 4 5 2 2 2 4" xfId="2259" xr:uid="{00000000-0005-0000-0000-00005D0B0000}"/>
    <cellStyle name="Separador de milhares 2 4 5 2 2 2 4 2" xfId="4955" xr:uid="{00000000-0005-0000-0000-00005E0B0000}"/>
    <cellStyle name="Separador de milhares 2 4 5 2 2 2 5" xfId="3409" xr:uid="{00000000-0005-0000-0000-00005F0B0000}"/>
    <cellStyle name="Separador de milhares 2 4 5 2 2 3" xfId="876" xr:uid="{00000000-0005-0000-0000-0000600B0000}"/>
    <cellStyle name="Separador de milhares 2 4 5 2 2 3 2" xfId="1643" xr:uid="{00000000-0005-0000-0000-0000610B0000}"/>
    <cellStyle name="Separador de milhares 2 4 5 2 2 3 2 2" xfId="2884" xr:uid="{00000000-0005-0000-0000-0000620B0000}"/>
    <cellStyle name="Separador de milhares 2 4 5 2 2 3 2 2 2" xfId="5580" xr:uid="{00000000-0005-0000-0000-0000630B0000}"/>
    <cellStyle name="Separador de milhares 2 4 5 2 2 3 2 3" xfId="4339" xr:uid="{00000000-0005-0000-0000-0000640B0000}"/>
    <cellStyle name="Separador de milhares 2 4 5 2 2 3 3" xfId="2384" xr:uid="{00000000-0005-0000-0000-0000650B0000}"/>
    <cellStyle name="Separador de milhares 2 4 5 2 2 3 3 2" xfId="5080" xr:uid="{00000000-0005-0000-0000-0000660B0000}"/>
    <cellStyle name="Separador de milhares 2 4 5 2 2 3 4" xfId="3573" xr:uid="{00000000-0005-0000-0000-0000670B0000}"/>
    <cellStyle name="Separador de milhares 2 4 5 2 2 4" xfId="1306" xr:uid="{00000000-0005-0000-0000-0000680B0000}"/>
    <cellStyle name="Separador de milhares 2 4 5 2 2 4 2" xfId="2634" xr:uid="{00000000-0005-0000-0000-0000690B0000}"/>
    <cellStyle name="Separador de milhares 2 4 5 2 2 4 2 2" xfId="5330" xr:uid="{00000000-0005-0000-0000-00006A0B0000}"/>
    <cellStyle name="Separador de milhares 2 4 5 2 2 4 3" xfId="4002" xr:uid="{00000000-0005-0000-0000-00006B0B0000}"/>
    <cellStyle name="Separador de milhares 2 4 5 2 2 5" xfId="2134" xr:uid="{00000000-0005-0000-0000-00006C0B0000}"/>
    <cellStyle name="Separador de milhares 2 4 5 2 2 5 2" xfId="4830" xr:uid="{00000000-0005-0000-0000-00006D0B0000}"/>
    <cellStyle name="Separador de milhares 2 4 5 2 2 6" xfId="3236" xr:uid="{00000000-0005-0000-0000-00006E0B0000}"/>
    <cellStyle name="Separador de milhares 2 4 5 2 3" xfId="649" xr:uid="{00000000-0005-0000-0000-00006F0B0000}"/>
    <cellStyle name="Separador de milhares 2 4 5 2 3 2" xfId="986" xr:uid="{00000000-0005-0000-0000-0000700B0000}"/>
    <cellStyle name="Separador de milhares 2 4 5 2 3 2 2" xfId="1753" xr:uid="{00000000-0005-0000-0000-0000710B0000}"/>
    <cellStyle name="Separador de milhares 2 4 5 2 3 2 2 2" xfId="2947" xr:uid="{00000000-0005-0000-0000-0000720B0000}"/>
    <cellStyle name="Separador de milhares 2 4 5 2 3 2 2 2 2" xfId="5643" xr:uid="{00000000-0005-0000-0000-0000730B0000}"/>
    <cellStyle name="Separador de milhares 2 4 5 2 3 2 2 3" xfId="4449" xr:uid="{00000000-0005-0000-0000-0000740B0000}"/>
    <cellStyle name="Separador de milhares 2 4 5 2 3 2 3" xfId="2447" xr:uid="{00000000-0005-0000-0000-0000750B0000}"/>
    <cellStyle name="Separador de milhares 2 4 5 2 3 2 3 2" xfId="5143" xr:uid="{00000000-0005-0000-0000-0000760B0000}"/>
    <cellStyle name="Separador de milhares 2 4 5 2 3 2 4" xfId="3683" xr:uid="{00000000-0005-0000-0000-0000770B0000}"/>
    <cellStyle name="Separador de milhares 2 4 5 2 3 3" xfId="1416" xr:uid="{00000000-0005-0000-0000-0000780B0000}"/>
    <cellStyle name="Separador de milhares 2 4 5 2 3 3 2" xfId="2697" xr:uid="{00000000-0005-0000-0000-0000790B0000}"/>
    <cellStyle name="Separador de milhares 2 4 5 2 3 3 2 2" xfId="5393" xr:uid="{00000000-0005-0000-0000-00007A0B0000}"/>
    <cellStyle name="Separador de milhares 2 4 5 2 3 3 3" xfId="4112" xr:uid="{00000000-0005-0000-0000-00007B0B0000}"/>
    <cellStyle name="Separador de milhares 2 4 5 2 3 4" xfId="2197" xr:uid="{00000000-0005-0000-0000-00007C0B0000}"/>
    <cellStyle name="Separador de milhares 2 4 5 2 3 4 2" xfId="4893" xr:uid="{00000000-0005-0000-0000-00007D0B0000}"/>
    <cellStyle name="Separador de milhares 2 4 5 2 3 5" xfId="3346" xr:uid="{00000000-0005-0000-0000-00007E0B0000}"/>
    <cellStyle name="Separador de milhares 2 4 5 2 4" xfId="812" xr:uid="{00000000-0005-0000-0000-00007F0B0000}"/>
    <cellStyle name="Separador de milhares 2 4 5 2 4 2" xfId="1579" xr:uid="{00000000-0005-0000-0000-0000800B0000}"/>
    <cellStyle name="Separador de milhares 2 4 5 2 4 2 2" xfId="2822" xr:uid="{00000000-0005-0000-0000-0000810B0000}"/>
    <cellStyle name="Separador de milhares 2 4 5 2 4 2 2 2" xfId="5518" xr:uid="{00000000-0005-0000-0000-0000820B0000}"/>
    <cellStyle name="Separador de milhares 2 4 5 2 4 2 3" xfId="4275" xr:uid="{00000000-0005-0000-0000-0000830B0000}"/>
    <cellStyle name="Separador de milhares 2 4 5 2 4 3" xfId="2322" xr:uid="{00000000-0005-0000-0000-0000840B0000}"/>
    <cellStyle name="Separador de milhares 2 4 5 2 4 3 2" xfId="5018" xr:uid="{00000000-0005-0000-0000-0000850B0000}"/>
    <cellStyle name="Separador de milhares 2 4 5 2 4 4" xfId="3509" xr:uid="{00000000-0005-0000-0000-0000860B0000}"/>
    <cellStyle name="Separador de milhares 2 4 5 2 5" xfId="1243" xr:uid="{00000000-0005-0000-0000-0000870B0000}"/>
    <cellStyle name="Separador de milhares 2 4 5 2 5 2" xfId="2572" xr:uid="{00000000-0005-0000-0000-0000880B0000}"/>
    <cellStyle name="Separador de milhares 2 4 5 2 5 2 2" xfId="5268" xr:uid="{00000000-0005-0000-0000-0000890B0000}"/>
    <cellStyle name="Separador de milhares 2 4 5 2 5 3" xfId="3939" xr:uid="{00000000-0005-0000-0000-00008A0B0000}"/>
    <cellStyle name="Separador de milhares 2 4 5 2 6" xfId="2072" xr:uid="{00000000-0005-0000-0000-00008B0B0000}"/>
    <cellStyle name="Separador de milhares 2 4 5 2 6 2" xfId="4768" xr:uid="{00000000-0005-0000-0000-00008C0B0000}"/>
    <cellStyle name="Separador de milhares 2 4 5 2 7" xfId="3172" xr:uid="{00000000-0005-0000-0000-00008D0B0000}"/>
    <cellStyle name="Separador de milhares 2 4 5 3" xfId="2017" xr:uid="{00000000-0005-0000-0000-00008E0B0000}"/>
    <cellStyle name="Separador de milhares 2 4 5 3 2" xfId="4713" xr:uid="{00000000-0005-0000-0000-00008F0B0000}"/>
    <cellStyle name="Separador de milhares 2 4 5 4" xfId="3116" xr:uid="{00000000-0005-0000-0000-0000900B0000}"/>
    <cellStyle name="Separador de milhares 2 4 6" xfId="382" xr:uid="{00000000-0005-0000-0000-0000910B0000}"/>
    <cellStyle name="Separador de milhares 2 4 6 2" xfId="474" xr:uid="{00000000-0005-0000-0000-0000920B0000}"/>
    <cellStyle name="Separador de milhares 2 4 6 2 2" xfId="539" xr:uid="{00000000-0005-0000-0000-0000930B0000}"/>
    <cellStyle name="Separador de milhares 2 4 6 2 2 2" xfId="713" xr:uid="{00000000-0005-0000-0000-0000940B0000}"/>
    <cellStyle name="Separador de milhares 2 4 6 2 2 2 2" xfId="1050" xr:uid="{00000000-0005-0000-0000-0000950B0000}"/>
    <cellStyle name="Separador de milhares 2 4 6 2 2 2 2 2" xfId="1817" xr:uid="{00000000-0005-0000-0000-0000960B0000}"/>
    <cellStyle name="Separador de milhares 2 4 6 2 2 2 2 2 2" xfId="3010" xr:uid="{00000000-0005-0000-0000-0000970B0000}"/>
    <cellStyle name="Separador de milhares 2 4 6 2 2 2 2 2 2 2" xfId="5706" xr:uid="{00000000-0005-0000-0000-0000980B0000}"/>
    <cellStyle name="Separador de milhares 2 4 6 2 2 2 2 2 3" xfId="4513" xr:uid="{00000000-0005-0000-0000-0000990B0000}"/>
    <cellStyle name="Separador de milhares 2 4 6 2 2 2 2 3" xfId="2510" xr:uid="{00000000-0005-0000-0000-00009A0B0000}"/>
    <cellStyle name="Separador de milhares 2 4 6 2 2 2 2 3 2" xfId="5206" xr:uid="{00000000-0005-0000-0000-00009B0B0000}"/>
    <cellStyle name="Separador de milhares 2 4 6 2 2 2 2 4" xfId="3747" xr:uid="{00000000-0005-0000-0000-00009C0B0000}"/>
    <cellStyle name="Separador de milhares 2 4 6 2 2 2 3" xfId="1480" xr:uid="{00000000-0005-0000-0000-00009D0B0000}"/>
    <cellStyle name="Separador de milhares 2 4 6 2 2 2 3 2" xfId="2760" xr:uid="{00000000-0005-0000-0000-00009E0B0000}"/>
    <cellStyle name="Separador de milhares 2 4 6 2 2 2 3 2 2" xfId="5456" xr:uid="{00000000-0005-0000-0000-00009F0B0000}"/>
    <cellStyle name="Separador de milhares 2 4 6 2 2 2 3 3" xfId="4176" xr:uid="{00000000-0005-0000-0000-0000A00B0000}"/>
    <cellStyle name="Separador de milhares 2 4 6 2 2 2 4" xfId="2260" xr:uid="{00000000-0005-0000-0000-0000A10B0000}"/>
    <cellStyle name="Separador de milhares 2 4 6 2 2 2 4 2" xfId="4956" xr:uid="{00000000-0005-0000-0000-0000A20B0000}"/>
    <cellStyle name="Separador de milhares 2 4 6 2 2 2 5" xfId="3410" xr:uid="{00000000-0005-0000-0000-0000A30B0000}"/>
    <cellStyle name="Separador de milhares 2 4 6 2 2 3" xfId="877" xr:uid="{00000000-0005-0000-0000-0000A40B0000}"/>
    <cellStyle name="Separador de milhares 2 4 6 2 2 3 2" xfId="1644" xr:uid="{00000000-0005-0000-0000-0000A50B0000}"/>
    <cellStyle name="Separador de milhares 2 4 6 2 2 3 2 2" xfId="2885" xr:uid="{00000000-0005-0000-0000-0000A60B0000}"/>
    <cellStyle name="Separador de milhares 2 4 6 2 2 3 2 2 2" xfId="5581" xr:uid="{00000000-0005-0000-0000-0000A70B0000}"/>
    <cellStyle name="Separador de milhares 2 4 6 2 2 3 2 3" xfId="4340" xr:uid="{00000000-0005-0000-0000-0000A80B0000}"/>
    <cellStyle name="Separador de milhares 2 4 6 2 2 3 3" xfId="2385" xr:uid="{00000000-0005-0000-0000-0000A90B0000}"/>
    <cellStyle name="Separador de milhares 2 4 6 2 2 3 3 2" xfId="5081" xr:uid="{00000000-0005-0000-0000-0000AA0B0000}"/>
    <cellStyle name="Separador de milhares 2 4 6 2 2 3 4" xfId="3574" xr:uid="{00000000-0005-0000-0000-0000AB0B0000}"/>
    <cellStyle name="Separador de milhares 2 4 6 2 2 4" xfId="1307" xr:uid="{00000000-0005-0000-0000-0000AC0B0000}"/>
    <cellStyle name="Separador de milhares 2 4 6 2 2 4 2" xfId="2635" xr:uid="{00000000-0005-0000-0000-0000AD0B0000}"/>
    <cellStyle name="Separador de milhares 2 4 6 2 2 4 2 2" xfId="5331" xr:uid="{00000000-0005-0000-0000-0000AE0B0000}"/>
    <cellStyle name="Separador de milhares 2 4 6 2 2 4 3" xfId="4003" xr:uid="{00000000-0005-0000-0000-0000AF0B0000}"/>
    <cellStyle name="Separador de milhares 2 4 6 2 2 5" xfId="2135" xr:uid="{00000000-0005-0000-0000-0000B00B0000}"/>
    <cellStyle name="Separador de milhares 2 4 6 2 2 5 2" xfId="4831" xr:uid="{00000000-0005-0000-0000-0000B10B0000}"/>
    <cellStyle name="Separador de milhares 2 4 6 2 2 6" xfId="3237" xr:uid="{00000000-0005-0000-0000-0000B20B0000}"/>
    <cellStyle name="Separador de milhares 2 4 6 2 3" xfId="650" xr:uid="{00000000-0005-0000-0000-0000B30B0000}"/>
    <cellStyle name="Separador de milhares 2 4 6 2 3 2" xfId="987" xr:uid="{00000000-0005-0000-0000-0000B40B0000}"/>
    <cellStyle name="Separador de milhares 2 4 6 2 3 2 2" xfId="1754" xr:uid="{00000000-0005-0000-0000-0000B50B0000}"/>
    <cellStyle name="Separador de milhares 2 4 6 2 3 2 2 2" xfId="2948" xr:uid="{00000000-0005-0000-0000-0000B60B0000}"/>
    <cellStyle name="Separador de milhares 2 4 6 2 3 2 2 2 2" xfId="5644" xr:uid="{00000000-0005-0000-0000-0000B70B0000}"/>
    <cellStyle name="Separador de milhares 2 4 6 2 3 2 2 3" xfId="4450" xr:uid="{00000000-0005-0000-0000-0000B80B0000}"/>
    <cellStyle name="Separador de milhares 2 4 6 2 3 2 3" xfId="2448" xr:uid="{00000000-0005-0000-0000-0000B90B0000}"/>
    <cellStyle name="Separador de milhares 2 4 6 2 3 2 3 2" xfId="5144" xr:uid="{00000000-0005-0000-0000-0000BA0B0000}"/>
    <cellStyle name="Separador de milhares 2 4 6 2 3 2 4" xfId="3684" xr:uid="{00000000-0005-0000-0000-0000BB0B0000}"/>
    <cellStyle name="Separador de milhares 2 4 6 2 3 3" xfId="1417" xr:uid="{00000000-0005-0000-0000-0000BC0B0000}"/>
    <cellStyle name="Separador de milhares 2 4 6 2 3 3 2" xfId="2698" xr:uid="{00000000-0005-0000-0000-0000BD0B0000}"/>
    <cellStyle name="Separador de milhares 2 4 6 2 3 3 2 2" xfId="5394" xr:uid="{00000000-0005-0000-0000-0000BE0B0000}"/>
    <cellStyle name="Separador de milhares 2 4 6 2 3 3 3" xfId="4113" xr:uid="{00000000-0005-0000-0000-0000BF0B0000}"/>
    <cellStyle name="Separador de milhares 2 4 6 2 3 4" xfId="2198" xr:uid="{00000000-0005-0000-0000-0000C00B0000}"/>
    <cellStyle name="Separador de milhares 2 4 6 2 3 4 2" xfId="4894" xr:uid="{00000000-0005-0000-0000-0000C10B0000}"/>
    <cellStyle name="Separador de milhares 2 4 6 2 3 5" xfId="3347" xr:uid="{00000000-0005-0000-0000-0000C20B0000}"/>
    <cellStyle name="Separador de milhares 2 4 6 2 4" xfId="813" xr:uid="{00000000-0005-0000-0000-0000C30B0000}"/>
    <cellStyle name="Separador de milhares 2 4 6 2 4 2" xfId="1580" xr:uid="{00000000-0005-0000-0000-0000C40B0000}"/>
    <cellStyle name="Separador de milhares 2 4 6 2 4 2 2" xfId="2823" xr:uid="{00000000-0005-0000-0000-0000C50B0000}"/>
    <cellStyle name="Separador de milhares 2 4 6 2 4 2 2 2" xfId="5519" xr:uid="{00000000-0005-0000-0000-0000C60B0000}"/>
    <cellStyle name="Separador de milhares 2 4 6 2 4 2 3" xfId="4276" xr:uid="{00000000-0005-0000-0000-0000C70B0000}"/>
    <cellStyle name="Separador de milhares 2 4 6 2 4 3" xfId="2323" xr:uid="{00000000-0005-0000-0000-0000C80B0000}"/>
    <cellStyle name="Separador de milhares 2 4 6 2 4 3 2" xfId="5019" xr:uid="{00000000-0005-0000-0000-0000C90B0000}"/>
    <cellStyle name="Separador de milhares 2 4 6 2 4 4" xfId="3510" xr:uid="{00000000-0005-0000-0000-0000CA0B0000}"/>
    <cellStyle name="Separador de milhares 2 4 6 2 5" xfId="1244" xr:uid="{00000000-0005-0000-0000-0000CB0B0000}"/>
    <cellStyle name="Separador de milhares 2 4 6 2 5 2" xfId="2573" xr:uid="{00000000-0005-0000-0000-0000CC0B0000}"/>
    <cellStyle name="Separador de milhares 2 4 6 2 5 2 2" xfId="5269" xr:uid="{00000000-0005-0000-0000-0000CD0B0000}"/>
    <cellStyle name="Separador de milhares 2 4 6 2 5 3" xfId="3940" xr:uid="{00000000-0005-0000-0000-0000CE0B0000}"/>
    <cellStyle name="Separador de milhares 2 4 6 2 6" xfId="2073" xr:uid="{00000000-0005-0000-0000-0000CF0B0000}"/>
    <cellStyle name="Separador de milhares 2 4 6 2 6 2" xfId="4769" xr:uid="{00000000-0005-0000-0000-0000D00B0000}"/>
    <cellStyle name="Separador de milhares 2 4 6 2 7" xfId="3173" xr:uid="{00000000-0005-0000-0000-0000D10B0000}"/>
    <cellStyle name="Separador de milhares 2 4 6 3" xfId="2018" xr:uid="{00000000-0005-0000-0000-0000D20B0000}"/>
    <cellStyle name="Separador de milhares 2 4 6 3 2" xfId="4714" xr:uid="{00000000-0005-0000-0000-0000D30B0000}"/>
    <cellStyle name="Separador de milhares 2 4 6 4" xfId="3117" xr:uid="{00000000-0005-0000-0000-0000D40B0000}"/>
    <cellStyle name="Separador de milhares 2 4 7" xfId="383" xr:uid="{00000000-0005-0000-0000-0000D50B0000}"/>
    <cellStyle name="Separador de milhares 2 4 7 2" xfId="475" xr:uid="{00000000-0005-0000-0000-0000D60B0000}"/>
    <cellStyle name="Separador de milhares 2 4 7 2 2" xfId="540" xr:uid="{00000000-0005-0000-0000-0000D70B0000}"/>
    <cellStyle name="Separador de milhares 2 4 7 2 2 2" xfId="714" xr:uid="{00000000-0005-0000-0000-0000D80B0000}"/>
    <cellStyle name="Separador de milhares 2 4 7 2 2 2 2" xfId="1051" xr:uid="{00000000-0005-0000-0000-0000D90B0000}"/>
    <cellStyle name="Separador de milhares 2 4 7 2 2 2 2 2" xfId="1818" xr:uid="{00000000-0005-0000-0000-0000DA0B0000}"/>
    <cellStyle name="Separador de milhares 2 4 7 2 2 2 2 2 2" xfId="3011" xr:uid="{00000000-0005-0000-0000-0000DB0B0000}"/>
    <cellStyle name="Separador de milhares 2 4 7 2 2 2 2 2 2 2" xfId="5707" xr:uid="{00000000-0005-0000-0000-0000DC0B0000}"/>
    <cellStyle name="Separador de milhares 2 4 7 2 2 2 2 2 3" xfId="4514" xr:uid="{00000000-0005-0000-0000-0000DD0B0000}"/>
    <cellStyle name="Separador de milhares 2 4 7 2 2 2 2 3" xfId="2511" xr:uid="{00000000-0005-0000-0000-0000DE0B0000}"/>
    <cellStyle name="Separador de milhares 2 4 7 2 2 2 2 3 2" xfId="5207" xr:uid="{00000000-0005-0000-0000-0000DF0B0000}"/>
    <cellStyle name="Separador de milhares 2 4 7 2 2 2 2 4" xfId="3748" xr:uid="{00000000-0005-0000-0000-0000E00B0000}"/>
    <cellStyle name="Separador de milhares 2 4 7 2 2 2 3" xfId="1481" xr:uid="{00000000-0005-0000-0000-0000E10B0000}"/>
    <cellStyle name="Separador de milhares 2 4 7 2 2 2 3 2" xfId="2761" xr:uid="{00000000-0005-0000-0000-0000E20B0000}"/>
    <cellStyle name="Separador de milhares 2 4 7 2 2 2 3 2 2" xfId="5457" xr:uid="{00000000-0005-0000-0000-0000E30B0000}"/>
    <cellStyle name="Separador de milhares 2 4 7 2 2 2 3 3" xfId="4177" xr:uid="{00000000-0005-0000-0000-0000E40B0000}"/>
    <cellStyle name="Separador de milhares 2 4 7 2 2 2 4" xfId="2261" xr:uid="{00000000-0005-0000-0000-0000E50B0000}"/>
    <cellStyle name="Separador de milhares 2 4 7 2 2 2 4 2" xfId="4957" xr:uid="{00000000-0005-0000-0000-0000E60B0000}"/>
    <cellStyle name="Separador de milhares 2 4 7 2 2 2 5" xfId="3411" xr:uid="{00000000-0005-0000-0000-0000E70B0000}"/>
    <cellStyle name="Separador de milhares 2 4 7 2 2 3" xfId="878" xr:uid="{00000000-0005-0000-0000-0000E80B0000}"/>
    <cellStyle name="Separador de milhares 2 4 7 2 2 3 2" xfId="1645" xr:uid="{00000000-0005-0000-0000-0000E90B0000}"/>
    <cellStyle name="Separador de milhares 2 4 7 2 2 3 2 2" xfId="2886" xr:uid="{00000000-0005-0000-0000-0000EA0B0000}"/>
    <cellStyle name="Separador de milhares 2 4 7 2 2 3 2 2 2" xfId="5582" xr:uid="{00000000-0005-0000-0000-0000EB0B0000}"/>
    <cellStyle name="Separador de milhares 2 4 7 2 2 3 2 3" xfId="4341" xr:uid="{00000000-0005-0000-0000-0000EC0B0000}"/>
    <cellStyle name="Separador de milhares 2 4 7 2 2 3 3" xfId="2386" xr:uid="{00000000-0005-0000-0000-0000ED0B0000}"/>
    <cellStyle name="Separador de milhares 2 4 7 2 2 3 3 2" xfId="5082" xr:uid="{00000000-0005-0000-0000-0000EE0B0000}"/>
    <cellStyle name="Separador de milhares 2 4 7 2 2 3 4" xfId="3575" xr:uid="{00000000-0005-0000-0000-0000EF0B0000}"/>
    <cellStyle name="Separador de milhares 2 4 7 2 2 4" xfId="1308" xr:uid="{00000000-0005-0000-0000-0000F00B0000}"/>
    <cellStyle name="Separador de milhares 2 4 7 2 2 4 2" xfId="2636" xr:uid="{00000000-0005-0000-0000-0000F10B0000}"/>
    <cellStyle name="Separador de milhares 2 4 7 2 2 4 2 2" xfId="5332" xr:uid="{00000000-0005-0000-0000-0000F20B0000}"/>
    <cellStyle name="Separador de milhares 2 4 7 2 2 4 3" xfId="4004" xr:uid="{00000000-0005-0000-0000-0000F30B0000}"/>
    <cellStyle name="Separador de milhares 2 4 7 2 2 5" xfId="2136" xr:uid="{00000000-0005-0000-0000-0000F40B0000}"/>
    <cellStyle name="Separador de milhares 2 4 7 2 2 5 2" xfId="4832" xr:uid="{00000000-0005-0000-0000-0000F50B0000}"/>
    <cellStyle name="Separador de milhares 2 4 7 2 2 6" xfId="3238" xr:uid="{00000000-0005-0000-0000-0000F60B0000}"/>
    <cellStyle name="Separador de milhares 2 4 7 2 3" xfId="651" xr:uid="{00000000-0005-0000-0000-0000F70B0000}"/>
    <cellStyle name="Separador de milhares 2 4 7 2 3 2" xfId="988" xr:uid="{00000000-0005-0000-0000-0000F80B0000}"/>
    <cellStyle name="Separador de milhares 2 4 7 2 3 2 2" xfId="1755" xr:uid="{00000000-0005-0000-0000-0000F90B0000}"/>
    <cellStyle name="Separador de milhares 2 4 7 2 3 2 2 2" xfId="2949" xr:uid="{00000000-0005-0000-0000-0000FA0B0000}"/>
    <cellStyle name="Separador de milhares 2 4 7 2 3 2 2 2 2" xfId="5645" xr:uid="{00000000-0005-0000-0000-0000FB0B0000}"/>
    <cellStyle name="Separador de milhares 2 4 7 2 3 2 2 3" xfId="4451" xr:uid="{00000000-0005-0000-0000-0000FC0B0000}"/>
    <cellStyle name="Separador de milhares 2 4 7 2 3 2 3" xfId="2449" xr:uid="{00000000-0005-0000-0000-0000FD0B0000}"/>
    <cellStyle name="Separador de milhares 2 4 7 2 3 2 3 2" xfId="5145" xr:uid="{00000000-0005-0000-0000-0000FE0B0000}"/>
    <cellStyle name="Separador de milhares 2 4 7 2 3 2 4" xfId="3685" xr:uid="{00000000-0005-0000-0000-0000FF0B0000}"/>
    <cellStyle name="Separador de milhares 2 4 7 2 3 3" xfId="1418" xr:uid="{00000000-0005-0000-0000-0000000C0000}"/>
    <cellStyle name="Separador de milhares 2 4 7 2 3 3 2" xfId="2699" xr:uid="{00000000-0005-0000-0000-0000010C0000}"/>
    <cellStyle name="Separador de milhares 2 4 7 2 3 3 2 2" xfId="5395" xr:uid="{00000000-0005-0000-0000-0000020C0000}"/>
    <cellStyle name="Separador de milhares 2 4 7 2 3 3 3" xfId="4114" xr:uid="{00000000-0005-0000-0000-0000030C0000}"/>
    <cellStyle name="Separador de milhares 2 4 7 2 3 4" xfId="2199" xr:uid="{00000000-0005-0000-0000-0000040C0000}"/>
    <cellStyle name="Separador de milhares 2 4 7 2 3 4 2" xfId="4895" xr:uid="{00000000-0005-0000-0000-0000050C0000}"/>
    <cellStyle name="Separador de milhares 2 4 7 2 3 5" xfId="3348" xr:uid="{00000000-0005-0000-0000-0000060C0000}"/>
    <cellStyle name="Separador de milhares 2 4 7 2 4" xfId="814" xr:uid="{00000000-0005-0000-0000-0000070C0000}"/>
    <cellStyle name="Separador de milhares 2 4 7 2 4 2" xfId="1581" xr:uid="{00000000-0005-0000-0000-0000080C0000}"/>
    <cellStyle name="Separador de milhares 2 4 7 2 4 2 2" xfId="2824" xr:uid="{00000000-0005-0000-0000-0000090C0000}"/>
    <cellStyle name="Separador de milhares 2 4 7 2 4 2 2 2" xfId="5520" xr:uid="{00000000-0005-0000-0000-00000A0C0000}"/>
    <cellStyle name="Separador de milhares 2 4 7 2 4 2 3" xfId="4277" xr:uid="{00000000-0005-0000-0000-00000B0C0000}"/>
    <cellStyle name="Separador de milhares 2 4 7 2 4 3" xfId="2324" xr:uid="{00000000-0005-0000-0000-00000C0C0000}"/>
    <cellStyle name="Separador de milhares 2 4 7 2 4 3 2" xfId="5020" xr:uid="{00000000-0005-0000-0000-00000D0C0000}"/>
    <cellStyle name="Separador de milhares 2 4 7 2 4 4" xfId="3511" xr:uid="{00000000-0005-0000-0000-00000E0C0000}"/>
    <cellStyle name="Separador de milhares 2 4 7 2 5" xfId="1245" xr:uid="{00000000-0005-0000-0000-00000F0C0000}"/>
    <cellStyle name="Separador de milhares 2 4 7 2 5 2" xfId="2574" xr:uid="{00000000-0005-0000-0000-0000100C0000}"/>
    <cellStyle name="Separador de milhares 2 4 7 2 5 2 2" xfId="5270" xr:uid="{00000000-0005-0000-0000-0000110C0000}"/>
    <cellStyle name="Separador de milhares 2 4 7 2 5 3" xfId="3941" xr:uid="{00000000-0005-0000-0000-0000120C0000}"/>
    <cellStyle name="Separador de milhares 2 4 7 2 6" xfId="2074" xr:uid="{00000000-0005-0000-0000-0000130C0000}"/>
    <cellStyle name="Separador de milhares 2 4 7 2 6 2" xfId="4770" xr:uid="{00000000-0005-0000-0000-0000140C0000}"/>
    <cellStyle name="Separador de milhares 2 4 7 2 7" xfId="3174" xr:uid="{00000000-0005-0000-0000-0000150C0000}"/>
    <cellStyle name="Separador de milhares 2 4 7 3" xfId="2019" xr:uid="{00000000-0005-0000-0000-0000160C0000}"/>
    <cellStyle name="Separador de milhares 2 4 7 3 2" xfId="4715" xr:uid="{00000000-0005-0000-0000-0000170C0000}"/>
    <cellStyle name="Separador de milhares 2 4 7 4" xfId="3118" xr:uid="{00000000-0005-0000-0000-0000180C0000}"/>
    <cellStyle name="Separador de milhares 2 4 8" xfId="384" xr:uid="{00000000-0005-0000-0000-0000190C0000}"/>
    <cellStyle name="Separador de milhares 2 4 8 2" xfId="476" xr:uid="{00000000-0005-0000-0000-00001A0C0000}"/>
    <cellStyle name="Separador de milhares 2 4 8 2 2" xfId="541" xr:uid="{00000000-0005-0000-0000-00001B0C0000}"/>
    <cellStyle name="Separador de milhares 2 4 8 2 2 2" xfId="715" xr:uid="{00000000-0005-0000-0000-00001C0C0000}"/>
    <cellStyle name="Separador de milhares 2 4 8 2 2 2 2" xfId="1052" xr:uid="{00000000-0005-0000-0000-00001D0C0000}"/>
    <cellStyle name="Separador de milhares 2 4 8 2 2 2 2 2" xfId="1819" xr:uid="{00000000-0005-0000-0000-00001E0C0000}"/>
    <cellStyle name="Separador de milhares 2 4 8 2 2 2 2 2 2" xfId="3012" xr:uid="{00000000-0005-0000-0000-00001F0C0000}"/>
    <cellStyle name="Separador de milhares 2 4 8 2 2 2 2 2 2 2" xfId="5708" xr:uid="{00000000-0005-0000-0000-0000200C0000}"/>
    <cellStyle name="Separador de milhares 2 4 8 2 2 2 2 2 3" xfId="4515" xr:uid="{00000000-0005-0000-0000-0000210C0000}"/>
    <cellStyle name="Separador de milhares 2 4 8 2 2 2 2 3" xfId="2512" xr:uid="{00000000-0005-0000-0000-0000220C0000}"/>
    <cellStyle name="Separador de milhares 2 4 8 2 2 2 2 3 2" xfId="5208" xr:uid="{00000000-0005-0000-0000-0000230C0000}"/>
    <cellStyle name="Separador de milhares 2 4 8 2 2 2 2 4" xfId="3749" xr:uid="{00000000-0005-0000-0000-0000240C0000}"/>
    <cellStyle name="Separador de milhares 2 4 8 2 2 2 3" xfId="1482" xr:uid="{00000000-0005-0000-0000-0000250C0000}"/>
    <cellStyle name="Separador de milhares 2 4 8 2 2 2 3 2" xfId="2762" xr:uid="{00000000-0005-0000-0000-0000260C0000}"/>
    <cellStyle name="Separador de milhares 2 4 8 2 2 2 3 2 2" xfId="5458" xr:uid="{00000000-0005-0000-0000-0000270C0000}"/>
    <cellStyle name="Separador de milhares 2 4 8 2 2 2 3 3" xfId="4178" xr:uid="{00000000-0005-0000-0000-0000280C0000}"/>
    <cellStyle name="Separador de milhares 2 4 8 2 2 2 4" xfId="2262" xr:uid="{00000000-0005-0000-0000-0000290C0000}"/>
    <cellStyle name="Separador de milhares 2 4 8 2 2 2 4 2" xfId="4958" xr:uid="{00000000-0005-0000-0000-00002A0C0000}"/>
    <cellStyle name="Separador de milhares 2 4 8 2 2 2 5" xfId="3412" xr:uid="{00000000-0005-0000-0000-00002B0C0000}"/>
    <cellStyle name="Separador de milhares 2 4 8 2 2 3" xfId="879" xr:uid="{00000000-0005-0000-0000-00002C0C0000}"/>
    <cellStyle name="Separador de milhares 2 4 8 2 2 3 2" xfId="1646" xr:uid="{00000000-0005-0000-0000-00002D0C0000}"/>
    <cellStyle name="Separador de milhares 2 4 8 2 2 3 2 2" xfId="2887" xr:uid="{00000000-0005-0000-0000-00002E0C0000}"/>
    <cellStyle name="Separador de milhares 2 4 8 2 2 3 2 2 2" xfId="5583" xr:uid="{00000000-0005-0000-0000-00002F0C0000}"/>
    <cellStyle name="Separador de milhares 2 4 8 2 2 3 2 3" xfId="4342" xr:uid="{00000000-0005-0000-0000-0000300C0000}"/>
    <cellStyle name="Separador de milhares 2 4 8 2 2 3 3" xfId="2387" xr:uid="{00000000-0005-0000-0000-0000310C0000}"/>
    <cellStyle name="Separador de milhares 2 4 8 2 2 3 3 2" xfId="5083" xr:uid="{00000000-0005-0000-0000-0000320C0000}"/>
    <cellStyle name="Separador de milhares 2 4 8 2 2 3 4" xfId="3576" xr:uid="{00000000-0005-0000-0000-0000330C0000}"/>
    <cellStyle name="Separador de milhares 2 4 8 2 2 4" xfId="1309" xr:uid="{00000000-0005-0000-0000-0000340C0000}"/>
    <cellStyle name="Separador de milhares 2 4 8 2 2 4 2" xfId="2637" xr:uid="{00000000-0005-0000-0000-0000350C0000}"/>
    <cellStyle name="Separador de milhares 2 4 8 2 2 4 2 2" xfId="5333" xr:uid="{00000000-0005-0000-0000-0000360C0000}"/>
    <cellStyle name="Separador de milhares 2 4 8 2 2 4 3" xfId="4005" xr:uid="{00000000-0005-0000-0000-0000370C0000}"/>
    <cellStyle name="Separador de milhares 2 4 8 2 2 5" xfId="2137" xr:uid="{00000000-0005-0000-0000-0000380C0000}"/>
    <cellStyle name="Separador de milhares 2 4 8 2 2 5 2" xfId="4833" xr:uid="{00000000-0005-0000-0000-0000390C0000}"/>
    <cellStyle name="Separador de milhares 2 4 8 2 2 6" xfId="3239" xr:uid="{00000000-0005-0000-0000-00003A0C0000}"/>
    <cellStyle name="Separador de milhares 2 4 8 2 3" xfId="652" xr:uid="{00000000-0005-0000-0000-00003B0C0000}"/>
    <cellStyle name="Separador de milhares 2 4 8 2 3 2" xfId="989" xr:uid="{00000000-0005-0000-0000-00003C0C0000}"/>
    <cellStyle name="Separador de milhares 2 4 8 2 3 2 2" xfId="1756" xr:uid="{00000000-0005-0000-0000-00003D0C0000}"/>
    <cellStyle name="Separador de milhares 2 4 8 2 3 2 2 2" xfId="2950" xr:uid="{00000000-0005-0000-0000-00003E0C0000}"/>
    <cellStyle name="Separador de milhares 2 4 8 2 3 2 2 2 2" xfId="5646" xr:uid="{00000000-0005-0000-0000-00003F0C0000}"/>
    <cellStyle name="Separador de milhares 2 4 8 2 3 2 2 3" xfId="4452" xr:uid="{00000000-0005-0000-0000-0000400C0000}"/>
    <cellStyle name="Separador de milhares 2 4 8 2 3 2 3" xfId="2450" xr:uid="{00000000-0005-0000-0000-0000410C0000}"/>
    <cellStyle name="Separador de milhares 2 4 8 2 3 2 3 2" xfId="5146" xr:uid="{00000000-0005-0000-0000-0000420C0000}"/>
    <cellStyle name="Separador de milhares 2 4 8 2 3 2 4" xfId="3686" xr:uid="{00000000-0005-0000-0000-0000430C0000}"/>
    <cellStyle name="Separador de milhares 2 4 8 2 3 3" xfId="1419" xr:uid="{00000000-0005-0000-0000-0000440C0000}"/>
    <cellStyle name="Separador de milhares 2 4 8 2 3 3 2" xfId="2700" xr:uid="{00000000-0005-0000-0000-0000450C0000}"/>
    <cellStyle name="Separador de milhares 2 4 8 2 3 3 2 2" xfId="5396" xr:uid="{00000000-0005-0000-0000-0000460C0000}"/>
    <cellStyle name="Separador de milhares 2 4 8 2 3 3 3" xfId="4115" xr:uid="{00000000-0005-0000-0000-0000470C0000}"/>
    <cellStyle name="Separador de milhares 2 4 8 2 3 4" xfId="2200" xr:uid="{00000000-0005-0000-0000-0000480C0000}"/>
    <cellStyle name="Separador de milhares 2 4 8 2 3 4 2" xfId="4896" xr:uid="{00000000-0005-0000-0000-0000490C0000}"/>
    <cellStyle name="Separador de milhares 2 4 8 2 3 5" xfId="3349" xr:uid="{00000000-0005-0000-0000-00004A0C0000}"/>
    <cellStyle name="Separador de milhares 2 4 8 2 4" xfId="815" xr:uid="{00000000-0005-0000-0000-00004B0C0000}"/>
    <cellStyle name="Separador de milhares 2 4 8 2 4 2" xfId="1582" xr:uid="{00000000-0005-0000-0000-00004C0C0000}"/>
    <cellStyle name="Separador de milhares 2 4 8 2 4 2 2" xfId="2825" xr:uid="{00000000-0005-0000-0000-00004D0C0000}"/>
    <cellStyle name="Separador de milhares 2 4 8 2 4 2 2 2" xfId="5521" xr:uid="{00000000-0005-0000-0000-00004E0C0000}"/>
    <cellStyle name="Separador de milhares 2 4 8 2 4 2 3" xfId="4278" xr:uid="{00000000-0005-0000-0000-00004F0C0000}"/>
    <cellStyle name="Separador de milhares 2 4 8 2 4 3" xfId="2325" xr:uid="{00000000-0005-0000-0000-0000500C0000}"/>
    <cellStyle name="Separador de milhares 2 4 8 2 4 3 2" xfId="5021" xr:uid="{00000000-0005-0000-0000-0000510C0000}"/>
    <cellStyle name="Separador de milhares 2 4 8 2 4 4" xfId="3512" xr:uid="{00000000-0005-0000-0000-0000520C0000}"/>
    <cellStyle name="Separador de milhares 2 4 8 2 5" xfId="1246" xr:uid="{00000000-0005-0000-0000-0000530C0000}"/>
    <cellStyle name="Separador de milhares 2 4 8 2 5 2" xfId="2575" xr:uid="{00000000-0005-0000-0000-0000540C0000}"/>
    <cellStyle name="Separador de milhares 2 4 8 2 5 2 2" xfId="5271" xr:uid="{00000000-0005-0000-0000-0000550C0000}"/>
    <cellStyle name="Separador de milhares 2 4 8 2 5 3" xfId="3942" xr:uid="{00000000-0005-0000-0000-0000560C0000}"/>
    <cellStyle name="Separador de milhares 2 4 8 2 6" xfId="2075" xr:uid="{00000000-0005-0000-0000-0000570C0000}"/>
    <cellStyle name="Separador de milhares 2 4 8 2 6 2" xfId="4771" xr:uid="{00000000-0005-0000-0000-0000580C0000}"/>
    <cellStyle name="Separador de milhares 2 4 8 2 7" xfId="3175" xr:uid="{00000000-0005-0000-0000-0000590C0000}"/>
    <cellStyle name="Separador de milhares 2 4 8 3" xfId="2020" xr:uid="{00000000-0005-0000-0000-00005A0C0000}"/>
    <cellStyle name="Separador de milhares 2 4 8 3 2" xfId="4716" xr:uid="{00000000-0005-0000-0000-00005B0C0000}"/>
    <cellStyle name="Separador de milhares 2 4 8 4" xfId="3119" xr:uid="{00000000-0005-0000-0000-00005C0C0000}"/>
    <cellStyle name="Separador de milhares 2 4 9" xfId="385" xr:uid="{00000000-0005-0000-0000-00005D0C0000}"/>
    <cellStyle name="Separador de milhares 2 4 9 2" xfId="477" xr:uid="{00000000-0005-0000-0000-00005E0C0000}"/>
    <cellStyle name="Separador de milhares 2 4 9 2 2" xfId="542" xr:uid="{00000000-0005-0000-0000-00005F0C0000}"/>
    <cellStyle name="Separador de milhares 2 4 9 2 2 2" xfId="716" xr:uid="{00000000-0005-0000-0000-0000600C0000}"/>
    <cellStyle name="Separador de milhares 2 4 9 2 2 2 2" xfId="1053" xr:uid="{00000000-0005-0000-0000-0000610C0000}"/>
    <cellStyle name="Separador de milhares 2 4 9 2 2 2 2 2" xfId="1820" xr:uid="{00000000-0005-0000-0000-0000620C0000}"/>
    <cellStyle name="Separador de milhares 2 4 9 2 2 2 2 2 2" xfId="3013" xr:uid="{00000000-0005-0000-0000-0000630C0000}"/>
    <cellStyle name="Separador de milhares 2 4 9 2 2 2 2 2 2 2" xfId="5709" xr:uid="{00000000-0005-0000-0000-0000640C0000}"/>
    <cellStyle name="Separador de milhares 2 4 9 2 2 2 2 2 3" xfId="4516" xr:uid="{00000000-0005-0000-0000-0000650C0000}"/>
    <cellStyle name="Separador de milhares 2 4 9 2 2 2 2 3" xfId="2513" xr:uid="{00000000-0005-0000-0000-0000660C0000}"/>
    <cellStyle name="Separador de milhares 2 4 9 2 2 2 2 3 2" xfId="5209" xr:uid="{00000000-0005-0000-0000-0000670C0000}"/>
    <cellStyle name="Separador de milhares 2 4 9 2 2 2 2 4" xfId="3750" xr:uid="{00000000-0005-0000-0000-0000680C0000}"/>
    <cellStyle name="Separador de milhares 2 4 9 2 2 2 3" xfId="1483" xr:uid="{00000000-0005-0000-0000-0000690C0000}"/>
    <cellStyle name="Separador de milhares 2 4 9 2 2 2 3 2" xfId="2763" xr:uid="{00000000-0005-0000-0000-00006A0C0000}"/>
    <cellStyle name="Separador de milhares 2 4 9 2 2 2 3 2 2" xfId="5459" xr:uid="{00000000-0005-0000-0000-00006B0C0000}"/>
    <cellStyle name="Separador de milhares 2 4 9 2 2 2 3 3" xfId="4179" xr:uid="{00000000-0005-0000-0000-00006C0C0000}"/>
    <cellStyle name="Separador de milhares 2 4 9 2 2 2 4" xfId="2263" xr:uid="{00000000-0005-0000-0000-00006D0C0000}"/>
    <cellStyle name="Separador de milhares 2 4 9 2 2 2 4 2" xfId="4959" xr:uid="{00000000-0005-0000-0000-00006E0C0000}"/>
    <cellStyle name="Separador de milhares 2 4 9 2 2 2 5" xfId="3413" xr:uid="{00000000-0005-0000-0000-00006F0C0000}"/>
    <cellStyle name="Separador de milhares 2 4 9 2 2 3" xfId="880" xr:uid="{00000000-0005-0000-0000-0000700C0000}"/>
    <cellStyle name="Separador de milhares 2 4 9 2 2 3 2" xfId="1647" xr:uid="{00000000-0005-0000-0000-0000710C0000}"/>
    <cellStyle name="Separador de milhares 2 4 9 2 2 3 2 2" xfId="2888" xr:uid="{00000000-0005-0000-0000-0000720C0000}"/>
    <cellStyle name="Separador de milhares 2 4 9 2 2 3 2 2 2" xfId="5584" xr:uid="{00000000-0005-0000-0000-0000730C0000}"/>
    <cellStyle name="Separador de milhares 2 4 9 2 2 3 2 3" xfId="4343" xr:uid="{00000000-0005-0000-0000-0000740C0000}"/>
    <cellStyle name="Separador de milhares 2 4 9 2 2 3 3" xfId="2388" xr:uid="{00000000-0005-0000-0000-0000750C0000}"/>
    <cellStyle name="Separador de milhares 2 4 9 2 2 3 3 2" xfId="5084" xr:uid="{00000000-0005-0000-0000-0000760C0000}"/>
    <cellStyle name="Separador de milhares 2 4 9 2 2 3 4" xfId="3577" xr:uid="{00000000-0005-0000-0000-0000770C0000}"/>
    <cellStyle name="Separador de milhares 2 4 9 2 2 4" xfId="1310" xr:uid="{00000000-0005-0000-0000-0000780C0000}"/>
    <cellStyle name="Separador de milhares 2 4 9 2 2 4 2" xfId="2638" xr:uid="{00000000-0005-0000-0000-0000790C0000}"/>
    <cellStyle name="Separador de milhares 2 4 9 2 2 4 2 2" xfId="5334" xr:uid="{00000000-0005-0000-0000-00007A0C0000}"/>
    <cellStyle name="Separador de milhares 2 4 9 2 2 4 3" xfId="4006" xr:uid="{00000000-0005-0000-0000-00007B0C0000}"/>
    <cellStyle name="Separador de milhares 2 4 9 2 2 5" xfId="2138" xr:uid="{00000000-0005-0000-0000-00007C0C0000}"/>
    <cellStyle name="Separador de milhares 2 4 9 2 2 5 2" xfId="4834" xr:uid="{00000000-0005-0000-0000-00007D0C0000}"/>
    <cellStyle name="Separador de milhares 2 4 9 2 2 6" xfId="3240" xr:uid="{00000000-0005-0000-0000-00007E0C0000}"/>
    <cellStyle name="Separador de milhares 2 4 9 2 3" xfId="653" xr:uid="{00000000-0005-0000-0000-00007F0C0000}"/>
    <cellStyle name="Separador de milhares 2 4 9 2 3 2" xfId="990" xr:uid="{00000000-0005-0000-0000-0000800C0000}"/>
    <cellStyle name="Separador de milhares 2 4 9 2 3 2 2" xfId="1757" xr:uid="{00000000-0005-0000-0000-0000810C0000}"/>
    <cellStyle name="Separador de milhares 2 4 9 2 3 2 2 2" xfId="2951" xr:uid="{00000000-0005-0000-0000-0000820C0000}"/>
    <cellStyle name="Separador de milhares 2 4 9 2 3 2 2 2 2" xfId="5647" xr:uid="{00000000-0005-0000-0000-0000830C0000}"/>
    <cellStyle name="Separador de milhares 2 4 9 2 3 2 2 3" xfId="4453" xr:uid="{00000000-0005-0000-0000-0000840C0000}"/>
    <cellStyle name="Separador de milhares 2 4 9 2 3 2 3" xfId="2451" xr:uid="{00000000-0005-0000-0000-0000850C0000}"/>
    <cellStyle name="Separador de milhares 2 4 9 2 3 2 3 2" xfId="5147" xr:uid="{00000000-0005-0000-0000-0000860C0000}"/>
    <cellStyle name="Separador de milhares 2 4 9 2 3 2 4" xfId="3687" xr:uid="{00000000-0005-0000-0000-0000870C0000}"/>
    <cellStyle name="Separador de milhares 2 4 9 2 3 3" xfId="1420" xr:uid="{00000000-0005-0000-0000-0000880C0000}"/>
    <cellStyle name="Separador de milhares 2 4 9 2 3 3 2" xfId="2701" xr:uid="{00000000-0005-0000-0000-0000890C0000}"/>
    <cellStyle name="Separador de milhares 2 4 9 2 3 3 2 2" xfId="5397" xr:uid="{00000000-0005-0000-0000-00008A0C0000}"/>
    <cellStyle name="Separador de milhares 2 4 9 2 3 3 3" xfId="4116" xr:uid="{00000000-0005-0000-0000-00008B0C0000}"/>
    <cellStyle name="Separador de milhares 2 4 9 2 3 4" xfId="2201" xr:uid="{00000000-0005-0000-0000-00008C0C0000}"/>
    <cellStyle name="Separador de milhares 2 4 9 2 3 4 2" xfId="4897" xr:uid="{00000000-0005-0000-0000-00008D0C0000}"/>
    <cellStyle name="Separador de milhares 2 4 9 2 3 5" xfId="3350" xr:uid="{00000000-0005-0000-0000-00008E0C0000}"/>
    <cellStyle name="Separador de milhares 2 4 9 2 4" xfId="816" xr:uid="{00000000-0005-0000-0000-00008F0C0000}"/>
    <cellStyle name="Separador de milhares 2 4 9 2 4 2" xfId="1583" xr:uid="{00000000-0005-0000-0000-0000900C0000}"/>
    <cellStyle name="Separador de milhares 2 4 9 2 4 2 2" xfId="2826" xr:uid="{00000000-0005-0000-0000-0000910C0000}"/>
    <cellStyle name="Separador de milhares 2 4 9 2 4 2 2 2" xfId="5522" xr:uid="{00000000-0005-0000-0000-0000920C0000}"/>
    <cellStyle name="Separador de milhares 2 4 9 2 4 2 3" xfId="4279" xr:uid="{00000000-0005-0000-0000-0000930C0000}"/>
    <cellStyle name="Separador de milhares 2 4 9 2 4 3" xfId="2326" xr:uid="{00000000-0005-0000-0000-0000940C0000}"/>
    <cellStyle name="Separador de milhares 2 4 9 2 4 3 2" xfId="5022" xr:uid="{00000000-0005-0000-0000-0000950C0000}"/>
    <cellStyle name="Separador de milhares 2 4 9 2 4 4" xfId="3513" xr:uid="{00000000-0005-0000-0000-0000960C0000}"/>
    <cellStyle name="Separador de milhares 2 4 9 2 5" xfId="1247" xr:uid="{00000000-0005-0000-0000-0000970C0000}"/>
    <cellStyle name="Separador de milhares 2 4 9 2 5 2" xfId="2576" xr:uid="{00000000-0005-0000-0000-0000980C0000}"/>
    <cellStyle name="Separador de milhares 2 4 9 2 5 2 2" xfId="5272" xr:uid="{00000000-0005-0000-0000-0000990C0000}"/>
    <cellStyle name="Separador de milhares 2 4 9 2 5 3" xfId="3943" xr:uid="{00000000-0005-0000-0000-00009A0C0000}"/>
    <cellStyle name="Separador de milhares 2 4 9 2 6" xfId="2076" xr:uid="{00000000-0005-0000-0000-00009B0C0000}"/>
    <cellStyle name="Separador de milhares 2 4 9 2 6 2" xfId="4772" xr:uid="{00000000-0005-0000-0000-00009C0C0000}"/>
    <cellStyle name="Separador de milhares 2 4 9 2 7" xfId="3176" xr:uid="{00000000-0005-0000-0000-00009D0C0000}"/>
    <cellStyle name="Separador de milhares 2 4 9 3" xfId="2021" xr:uid="{00000000-0005-0000-0000-00009E0C0000}"/>
    <cellStyle name="Separador de milhares 2 4 9 3 2" xfId="4717" xr:uid="{00000000-0005-0000-0000-00009F0C0000}"/>
    <cellStyle name="Separador de milhares 2 4 9 4" xfId="3120" xr:uid="{00000000-0005-0000-0000-0000A00C0000}"/>
    <cellStyle name="Separador de milhares 2 40" xfId="5863" xr:uid="{00000000-0005-0000-0000-0000A10C0000}"/>
    <cellStyle name="Separador de milhares 2 41" xfId="5865" xr:uid="{00000000-0005-0000-0000-0000A20C0000}"/>
    <cellStyle name="Separador de milhares 2 42" xfId="5869" xr:uid="{00000000-0005-0000-0000-0000A30C0000}"/>
    <cellStyle name="Separador de milhares 2 43" xfId="5864" xr:uid="{00000000-0005-0000-0000-0000A40C0000}"/>
    <cellStyle name="Separador de milhares 2 5" xfId="246" xr:uid="{00000000-0005-0000-0000-0000A50C0000}"/>
    <cellStyle name="Separador de milhares 2 5 2" xfId="457" xr:uid="{00000000-0005-0000-0000-0000A60C0000}"/>
    <cellStyle name="Separador de milhares 2 5 2 2" xfId="522" xr:uid="{00000000-0005-0000-0000-0000A70C0000}"/>
    <cellStyle name="Separador de milhares 2 5 2 2 2" xfId="696" xr:uid="{00000000-0005-0000-0000-0000A80C0000}"/>
    <cellStyle name="Separador de milhares 2 5 2 2 2 2" xfId="1033" xr:uid="{00000000-0005-0000-0000-0000A90C0000}"/>
    <cellStyle name="Separador de milhares 2 5 2 2 2 2 2" xfId="1800" xr:uid="{00000000-0005-0000-0000-0000AA0C0000}"/>
    <cellStyle name="Separador de milhares 2 5 2 2 2 2 2 2" xfId="2993" xr:uid="{00000000-0005-0000-0000-0000AB0C0000}"/>
    <cellStyle name="Separador de milhares 2 5 2 2 2 2 2 2 2" xfId="5689" xr:uid="{00000000-0005-0000-0000-0000AC0C0000}"/>
    <cellStyle name="Separador de milhares 2 5 2 2 2 2 2 3" xfId="4496" xr:uid="{00000000-0005-0000-0000-0000AD0C0000}"/>
    <cellStyle name="Separador de milhares 2 5 2 2 2 2 3" xfId="2493" xr:uid="{00000000-0005-0000-0000-0000AE0C0000}"/>
    <cellStyle name="Separador de milhares 2 5 2 2 2 2 3 2" xfId="5189" xr:uid="{00000000-0005-0000-0000-0000AF0C0000}"/>
    <cellStyle name="Separador de milhares 2 5 2 2 2 2 4" xfId="3730" xr:uid="{00000000-0005-0000-0000-0000B00C0000}"/>
    <cellStyle name="Separador de milhares 2 5 2 2 2 3" xfId="1463" xr:uid="{00000000-0005-0000-0000-0000B10C0000}"/>
    <cellStyle name="Separador de milhares 2 5 2 2 2 3 2" xfId="2743" xr:uid="{00000000-0005-0000-0000-0000B20C0000}"/>
    <cellStyle name="Separador de milhares 2 5 2 2 2 3 2 2" xfId="5439" xr:uid="{00000000-0005-0000-0000-0000B30C0000}"/>
    <cellStyle name="Separador de milhares 2 5 2 2 2 3 3" xfId="4159" xr:uid="{00000000-0005-0000-0000-0000B40C0000}"/>
    <cellStyle name="Separador de milhares 2 5 2 2 2 4" xfId="2243" xr:uid="{00000000-0005-0000-0000-0000B50C0000}"/>
    <cellStyle name="Separador de milhares 2 5 2 2 2 4 2" xfId="4939" xr:uid="{00000000-0005-0000-0000-0000B60C0000}"/>
    <cellStyle name="Separador de milhares 2 5 2 2 2 5" xfId="3393" xr:uid="{00000000-0005-0000-0000-0000B70C0000}"/>
    <cellStyle name="Separador de milhares 2 5 2 2 3" xfId="860" xr:uid="{00000000-0005-0000-0000-0000B80C0000}"/>
    <cellStyle name="Separador de milhares 2 5 2 2 3 2" xfId="1627" xr:uid="{00000000-0005-0000-0000-0000B90C0000}"/>
    <cellStyle name="Separador de milhares 2 5 2 2 3 2 2" xfId="2868" xr:uid="{00000000-0005-0000-0000-0000BA0C0000}"/>
    <cellStyle name="Separador de milhares 2 5 2 2 3 2 2 2" xfId="5564" xr:uid="{00000000-0005-0000-0000-0000BB0C0000}"/>
    <cellStyle name="Separador de milhares 2 5 2 2 3 2 3" xfId="4323" xr:uid="{00000000-0005-0000-0000-0000BC0C0000}"/>
    <cellStyle name="Separador de milhares 2 5 2 2 3 3" xfId="2368" xr:uid="{00000000-0005-0000-0000-0000BD0C0000}"/>
    <cellStyle name="Separador de milhares 2 5 2 2 3 3 2" xfId="5064" xr:uid="{00000000-0005-0000-0000-0000BE0C0000}"/>
    <cellStyle name="Separador de milhares 2 5 2 2 3 4" xfId="3557" xr:uid="{00000000-0005-0000-0000-0000BF0C0000}"/>
    <cellStyle name="Separador de milhares 2 5 2 2 4" xfId="1290" xr:uid="{00000000-0005-0000-0000-0000C00C0000}"/>
    <cellStyle name="Separador de milhares 2 5 2 2 4 2" xfId="2618" xr:uid="{00000000-0005-0000-0000-0000C10C0000}"/>
    <cellStyle name="Separador de milhares 2 5 2 2 4 2 2" xfId="5314" xr:uid="{00000000-0005-0000-0000-0000C20C0000}"/>
    <cellStyle name="Separador de milhares 2 5 2 2 4 3" xfId="3986" xr:uid="{00000000-0005-0000-0000-0000C30C0000}"/>
    <cellStyle name="Separador de milhares 2 5 2 2 5" xfId="2118" xr:uid="{00000000-0005-0000-0000-0000C40C0000}"/>
    <cellStyle name="Separador de milhares 2 5 2 2 5 2" xfId="4814" xr:uid="{00000000-0005-0000-0000-0000C50C0000}"/>
    <cellStyle name="Separador de milhares 2 5 2 2 6" xfId="3220" xr:uid="{00000000-0005-0000-0000-0000C60C0000}"/>
    <cellStyle name="Separador de milhares 2 5 2 3" xfId="633" xr:uid="{00000000-0005-0000-0000-0000C70C0000}"/>
    <cellStyle name="Separador de milhares 2 5 2 3 2" xfId="970" xr:uid="{00000000-0005-0000-0000-0000C80C0000}"/>
    <cellStyle name="Separador de milhares 2 5 2 3 2 2" xfId="1737" xr:uid="{00000000-0005-0000-0000-0000C90C0000}"/>
    <cellStyle name="Separador de milhares 2 5 2 3 2 2 2" xfId="2931" xr:uid="{00000000-0005-0000-0000-0000CA0C0000}"/>
    <cellStyle name="Separador de milhares 2 5 2 3 2 2 2 2" xfId="5627" xr:uid="{00000000-0005-0000-0000-0000CB0C0000}"/>
    <cellStyle name="Separador de milhares 2 5 2 3 2 2 3" xfId="4433" xr:uid="{00000000-0005-0000-0000-0000CC0C0000}"/>
    <cellStyle name="Separador de milhares 2 5 2 3 2 3" xfId="2431" xr:uid="{00000000-0005-0000-0000-0000CD0C0000}"/>
    <cellStyle name="Separador de milhares 2 5 2 3 2 3 2" xfId="5127" xr:uid="{00000000-0005-0000-0000-0000CE0C0000}"/>
    <cellStyle name="Separador de milhares 2 5 2 3 2 4" xfId="3667" xr:uid="{00000000-0005-0000-0000-0000CF0C0000}"/>
    <cellStyle name="Separador de milhares 2 5 2 3 3" xfId="1400" xr:uid="{00000000-0005-0000-0000-0000D00C0000}"/>
    <cellStyle name="Separador de milhares 2 5 2 3 3 2" xfId="2681" xr:uid="{00000000-0005-0000-0000-0000D10C0000}"/>
    <cellStyle name="Separador de milhares 2 5 2 3 3 2 2" xfId="5377" xr:uid="{00000000-0005-0000-0000-0000D20C0000}"/>
    <cellStyle name="Separador de milhares 2 5 2 3 3 3" xfId="4096" xr:uid="{00000000-0005-0000-0000-0000D30C0000}"/>
    <cellStyle name="Separador de milhares 2 5 2 3 4" xfId="2181" xr:uid="{00000000-0005-0000-0000-0000D40C0000}"/>
    <cellStyle name="Separador de milhares 2 5 2 3 4 2" xfId="4877" xr:uid="{00000000-0005-0000-0000-0000D50C0000}"/>
    <cellStyle name="Separador de milhares 2 5 2 3 5" xfId="3330" xr:uid="{00000000-0005-0000-0000-0000D60C0000}"/>
    <cellStyle name="Separador de milhares 2 5 2 4" xfId="796" xr:uid="{00000000-0005-0000-0000-0000D70C0000}"/>
    <cellStyle name="Separador de milhares 2 5 2 4 2" xfId="1563" xr:uid="{00000000-0005-0000-0000-0000D80C0000}"/>
    <cellStyle name="Separador de milhares 2 5 2 4 2 2" xfId="2806" xr:uid="{00000000-0005-0000-0000-0000D90C0000}"/>
    <cellStyle name="Separador de milhares 2 5 2 4 2 2 2" xfId="5502" xr:uid="{00000000-0005-0000-0000-0000DA0C0000}"/>
    <cellStyle name="Separador de milhares 2 5 2 4 2 3" xfId="4259" xr:uid="{00000000-0005-0000-0000-0000DB0C0000}"/>
    <cellStyle name="Separador de milhares 2 5 2 4 3" xfId="2306" xr:uid="{00000000-0005-0000-0000-0000DC0C0000}"/>
    <cellStyle name="Separador de milhares 2 5 2 4 3 2" xfId="5002" xr:uid="{00000000-0005-0000-0000-0000DD0C0000}"/>
    <cellStyle name="Separador de milhares 2 5 2 4 4" xfId="3493" xr:uid="{00000000-0005-0000-0000-0000DE0C0000}"/>
    <cellStyle name="Separador de milhares 2 5 2 5" xfId="1227" xr:uid="{00000000-0005-0000-0000-0000DF0C0000}"/>
    <cellStyle name="Separador de milhares 2 5 2 5 2" xfId="2556" xr:uid="{00000000-0005-0000-0000-0000E00C0000}"/>
    <cellStyle name="Separador de milhares 2 5 2 5 2 2" xfId="5252" xr:uid="{00000000-0005-0000-0000-0000E10C0000}"/>
    <cellStyle name="Separador de milhares 2 5 2 5 3" xfId="3923" xr:uid="{00000000-0005-0000-0000-0000E20C0000}"/>
    <cellStyle name="Separador de milhares 2 5 2 6" xfId="2056" xr:uid="{00000000-0005-0000-0000-0000E30C0000}"/>
    <cellStyle name="Separador de milhares 2 5 2 6 2" xfId="4752" xr:uid="{00000000-0005-0000-0000-0000E40C0000}"/>
    <cellStyle name="Separador de milhares 2 5 2 7" xfId="3156" xr:uid="{00000000-0005-0000-0000-0000E50C0000}"/>
    <cellStyle name="Separador de milhares 2 5 3" xfId="2000" xr:uid="{00000000-0005-0000-0000-0000E60C0000}"/>
    <cellStyle name="Separador de milhares 2 5 3 2" xfId="4696" xr:uid="{00000000-0005-0000-0000-0000E70C0000}"/>
    <cellStyle name="Separador de milhares 2 5 4" xfId="3098" xr:uid="{00000000-0005-0000-0000-0000E80C0000}"/>
    <cellStyle name="Separador de milhares 2 6" xfId="247" xr:uid="{00000000-0005-0000-0000-0000E90C0000}"/>
    <cellStyle name="Separador de milhares 2 6 2" xfId="386" xr:uid="{00000000-0005-0000-0000-0000EA0C0000}"/>
    <cellStyle name="Separador de milhares 2 6 2 2" xfId="478" xr:uid="{00000000-0005-0000-0000-0000EB0C0000}"/>
    <cellStyle name="Separador de milhares 2 6 2 2 2" xfId="543" xr:uid="{00000000-0005-0000-0000-0000EC0C0000}"/>
    <cellStyle name="Separador de milhares 2 6 2 2 2 2" xfId="717" xr:uid="{00000000-0005-0000-0000-0000ED0C0000}"/>
    <cellStyle name="Separador de milhares 2 6 2 2 2 2 2" xfId="1054" xr:uid="{00000000-0005-0000-0000-0000EE0C0000}"/>
    <cellStyle name="Separador de milhares 2 6 2 2 2 2 2 2" xfId="1821" xr:uid="{00000000-0005-0000-0000-0000EF0C0000}"/>
    <cellStyle name="Separador de milhares 2 6 2 2 2 2 2 2 2" xfId="3014" xr:uid="{00000000-0005-0000-0000-0000F00C0000}"/>
    <cellStyle name="Separador de milhares 2 6 2 2 2 2 2 2 2 2" xfId="5710" xr:uid="{00000000-0005-0000-0000-0000F10C0000}"/>
    <cellStyle name="Separador de milhares 2 6 2 2 2 2 2 2 3" xfId="4517" xr:uid="{00000000-0005-0000-0000-0000F20C0000}"/>
    <cellStyle name="Separador de milhares 2 6 2 2 2 2 2 3" xfId="2514" xr:uid="{00000000-0005-0000-0000-0000F30C0000}"/>
    <cellStyle name="Separador de milhares 2 6 2 2 2 2 2 3 2" xfId="5210" xr:uid="{00000000-0005-0000-0000-0000F40C0000}"/>
    <cellStyle name="Separador de milhares 2 6 2 2 2 2 2 4" xfId="3751" xr:uid="{00000000-0005-0000-0000-0000F50C0000}"/>
    <cellStyle name="Separador de milhares 2 6 2 2 2 2 3" xfId="1484" xr:uid="{00000000-0005-0000-0000-0000F60C0000}"/>
    <cellStyle name="Separador de milhares 2 6 2 2 2 2 3 2" xfId="2764" xr:uid="{00000000-0005-0000-0000-0000F70C0000}"/>
    <cellStyle name="Separador de milhares 2 6 2 2 2 2 3 2 2" xfId="5460" xr:uid="{00000000-0005-0000-0000-0000F80C0000}"/>
    <cellStyle name="Separador de milhares 2 6 2 2 2 2 3 3" xfId="4180" xr:uid="{00000000-0005-0000-0000-0000F90C0000}"/>
    <cellStyle name="Separador de milhares 2 6 2 2 2 2 4" xfId="2264" xr:uid="{00000000-0005-0000-0000-0000FA0C0000}"/>
    <cellStyle name="Separador de milhares 2 6 2 2 2 2 4 2" xfId="4960" xr:uid="{00000000-0005-0000-0000-0000FB0C0000}"/>
    <cellStyle name="Separador de milhares 2 6 2 2 2 2 5" xfId="3414" xr:uid="{00000000-0005-0000-0000-0000FC0C0000}"/>
    <cellStyle name="Separador de milhares 2 6 2 2 2 3" xfId="881" xr:uid="{00000000-0005-0000-0000-0000FD0C0000}"/>
    <cellStyle name="Separador de milhares 2 6 2 2 2 3 2" xfId="1648" xr:uid="{00000000-0005-0000-0000-0000FE0C0000}"/>
    <cellStyle name="Separador de milhares 2 6 2 2 2 3 2 2" xfId="2889" xr:uid="{00000000-0005-0000-0000-0000FF0C0000}"/>
    <cellStyle name="Separador de milhares 2 6 2 2 2 3 2 2 2" xfId="5585" xr:uid="{00000000-0005-0000-0000-0000000D0000}"/>
    <cellStyle name="Separador de milhares 2 6 2 2 2 3 2 3" xfId="4344" xr:uid="{00000000-0005-0000-0000-0000010D0000}"/>
    <cellStyle name="Separador de milhares 2 6 2 2 2 3 3" xfId="2389" xr:uid="{00000000-0005-0000-0000-0000020D0000}"/>
    <cellStyle name="Separador de milhares 2 6 2 2 2 3 3 2" xfId="5085" xr:uid="{00000000-0005-0000-0000-0000030D0000}"/>
    <cellStyle name="Separador de milhares 2 6 2 2 2 3 4" xfId="3578" xr:uid="{00000000-0005-0000-0000-0000040D0000}"/>
    <cellStyle name="Separador de milhares 2 6 2 2 2 4" xfId="1311" xr:uid="{00000000-0005-0000-0000-0000050D0000}"/>
    <cellStyle name="Separador de milhares 2 6 2 2 2 4 2" xfId="2639" xr:uid="{00000000-0005-0000-0000-0000060D0000}"/>
    <cellStyle name="Separador de milhares 2 6 2 2 2 4 2 2" xfId="5335" xr:uid="{00000000-0005-0000-0000-0000070D0000}"/>
    <cellStyle name="Separador de milhares 2 6 2 2 2 4 3" xfId="4007" xr:uid="{00000000-0005-0000-0000-0000080D0000}"/>
    <cellStyle name="Separador de milhares 2 6 2 2 2 5" xfId="2139" xr:uid="{00000000-0005-0000-0000-0000090D0000}"/>
    <cellStyle name="Separador de milhares 2 6 2 2 2 5 2" xfId="4835" xr:uid="{00000000-0005-0000-0000-00000A0D0000}"/>
    <cellStyle name="Separador de milhares 2 6 2 2 2 6" xfId="3241" xr:uid="{00000000-0005-0000-0000-00000B0D0000}"/>
    <cellStyle name="Separador de milhares 2 6 2 2 3" xfId="654" xr:uid="{00000000-0005-0000-0000-00000C0D0000}"/>
    <cellStyle name="Separador de milhares 2 6 2 2 3 2" xfId="991" xr:uid="{00000000-0005-0000-0000-00000D0D0000}"/>
    <cellStyle name="Separador de milhares 2 6 2 2 3 2 2" xfId="1758" xr:uid="{00000000-0005-0000-0000-00000E0D0000}"/>
    <cellStyle name="Separador de milhares 2 6 2 2 3 2 2 2" xfId="2952" xr:uid="{00000000-0005-0000-0000-00000F0D0000}"/>
    <cellStyle name="Separador de milhares 2 6 2 2 3 2 2 2 2" xfId="5648" xr:uid="{00000000-0005-0000-0000-0000100D0000}"/>
    <cellStyle name="Separador de milhares 2 6 2 2 3 2 2 3" xfId="4454" xr:uid="{00000000-0005-0000-0000-0000110D0000}"/>
    <cellStyle name="Separador de milhares 2 6 2 2 3 2 3" xfId="2452" xr:uid="{00000000-0005-0000-0000-0000120D0000}"/>
    <cellStyle name="Separador de milhares 2 6 2 2 3 2 3 2" xfId="5148" xr:uid="{00000000-0005-0000-0000-0000130D0000}"/>
    <cellStyle name="Separador de milhares 2 6 2 2 3 2 4" xfId="3688" xr:uid="{00000000-0005-0000-0000-0000140D0000}"/>
    <cellStyle name="Separador de milhares 2 6 2 2 3 3" xfId="1421" xr:uid="{00000000-0005-0000-0000-0000150D0000}"/>
    <cellStyle name="Separador de milhares 2 6 2 2 3 3 2" xfId="2702" xr:uid="{00000000-0005-0000-0000-0000160D0000}"/>
    <cellStyle name="Separador de milhares 2 6 2 2 3 3 2 2" xfId="5398" xr:uid="{00000000-0005-0000-0000-0000170D0000}"/>
    <cellStyle name="Separador de milhares 2 6 2 2 3 3 3" xfId="4117" xr:uid="{00000000-0005-0000-0000-0000180D0000}"/>
    <cellStyle name="Separador de milhares 2 6 2 2 3 4" xfId="2202" xr:uid="{00000000-0005-0000-0000-0000190D0000}"/>
    <cellStyle name="Separador de milhares 2 6 2 2 3 4 2" xfId="4898" xr:uid="{00000000-0005-0000-0000-00001A0D0000}"/>
    <cellStyle name="Separador de milhares 2 6 2 2 3 5" xfId="3351" xr:uid="{00000000-0005-0000-0000-00001B0D0000}"/>
    <cellStyle name="Separador de milhares 2 6 2 2 4" xfId="817" xr:uid="{00000000-0005-0000-0000-00001C0D0000}"/>
    <cellStyle name="Separador de milhares 2 6 2 2 4 2" xfId="1584" xr:uid="{00000000-0005-0000-0000-00001D0D0000}"/>
    <cellStyle name="Separador de milhares 2 6 2 2 4 2 2" xfId="2827" xr:uid="{00000000-0005-0000-0000-00001E0D0000}"/>
    <cellStyle name="Separador de milhares 2 6 2 2 4 2 2 2" xfId="5523" xr:uid="{00000000-0005-0000-0000-00001F0D0000}"/>
    <cellStyle name="Separador de milhares 2 6 2 2 4 2 3" xfId="4280" xr:uid="{00000000-0005-0000-0000-0000200D0000}"/>
    <cellStyle name="Separador de milhares 2 6 2 2 4 3" xfId="2327" xr:uid="{00000000-0005-0000-0000-0000210D0000}"/>
    <cellStyle name="Separador de milhares 2 6 2 2 4 3 2" xfId="5023" xr:uid="{00000000-0005-0000-0000-0000220D0000}"/>
    <cellStyle name="Separador de milhares 2 6 2 2 4 4" xfId="3514" xr:uid="{00000000-0005-0000-0000-0000230D0000}"/>
    <cellStyle name="Separador de milhares 2 6 2 2 5" xfId="1248" xr:uid="{00000000-0005-0000-0000-0000240D0000}"/>
    <cellStyle name="Separador de milhares 2 6 2 2 5 2" xfId="2577" xr:uid="{00000000-0005-0000-0000-0000250D0000}"/>
    <cellStyle name="Separador de milhares 2 6 2 2 5 2 2" xfId="5273" xr:uid="{00000000-0005-0000-0000-0000260D0000}"/>
    <cellStyle name="Separador de milhares 2 6 2 2 5 3" xfId="3944" xr:uid="{00000000-0005-0000-0000-0000270D0000}"/>
    <cellStyle name="Separador de milhares 2 6 2 2 6" xfId="2077" xr:uid="{00000000-0005-0000-0000-0000280D0000}"/>
    <cellStyle name="Separador de milhares 2 6 2 2 6 2" xfId="4773" xr:uid="{00000000-0005-0000-0000-0000290D0000}"/>
    <cellStyle name="Separador de milhares 2 6 2 2 7" xfId="3177" xr:uid="{00000000-0005-0000-0000-00002A0D0000}"/>
    <cellStyle name="Separador de milhares 2 6 2 3" xfId="2022" xr:uid="{00000000-0005-0000-0000-00002B0D0000}"/>
    <cellStyle name="Separador de milhares 2 6 2 3 2" xfId="4718" xr:uid="{00000000-0005-0000-0000-00002C0D0000}"/>
    <cellStyle name="Separador de milhares 2 6 2 4" xfId="3121" xr:uid="{00000000-0005-0000-0000-00002D0D0000}"/>
    <cellStyle name="Separador de milhares 2 6 3" xfId="387" xr:uid="{00000000-0005-0000-0000-00002E0D0000}"/>
    <cellStyle name="Separador de milhares 2 6 3 2" xfId="479" xr:uid="{00000000-0005-0000-0000-00002F0D0000}"/>
    <cellStyle name="Separador de milhares 2 6 3 2 2" xfId="544" xr:uid="{00000000-0005-0000-0000-0000300D0000}"/>
    <cellStyle name="Separador de milhares 2 6 3 2 2 2" xfId="718" xr:uid="{00000000-0005-0000-0000-0000310D0000}"/>
    <cellStyle name="Separador de milhares 2 6 3 2 2 2 2" xfId="1055" xr:uid="{00000000-0005-0000-0000-0000320D0000}"/>
    <cellStyle name="Separador de milhares 2 6 3 2 2 2 2 2" xfId="1822" xr:uid="{00000000-0005-0000-0000-0000330D0000}"/>
    <cellStyle name="Separador de milhares 2 6 3 2 2 2 2 2 2" xfId="3015" xr:uid="{00000000-0005-0000-0000-0000340D0000}"/>
    <cellStyle name="Separador de milhares 2 6 3 2 2 2 2 2 2 2" xfId="5711" xr:uid="{00000000-0005-0000-0000-0000350D0000}"/>
    <cellStyle name="Separador de milhares 2 6 3 2 2 2 2 2 3" xfId="4518" xr:uid="{00000000-0005-0000-0000-0000360D0000}"/>
    <cellStyle name="Separador de milhares 2 6 3 2 2 2 2 3" xfId="2515" xr:uid="{00000000-0005-0000-0000-0000370D0000}"/>
    <cellStyle name="Separador de milhares 2 6 3 2 2 2 2 3 2" xfId="5211" xr:uid="{00000000-0005-0000-0000-0000380D0000}"/>
    <cellStyle name="Separador de milhares 2 6 3 2 2 2 2 4" xfId="3752" xr:uid="{00000000-0005-0000-0000-0000390D0000}"/>
    <cellStyle name="Separador de milhares 2 6 3 2 2 2 3" xfId="1485" xr:uid="{00000000-0005-0000-0000-00003A0D0000}"/>
    <cellStyle name="Separador de milhares 2 6 3 2 2 2 3 2" xfId="2765" xr:uid="{00000000-0005-0000-0000-00003B0D0000}"/>
    <cellStyle name="Separador de milhares 2 6 3 2 2 2 3 2 2" xfId="5461" xr:uid="{00000000-0005-0000-0000-00003C0D0000}"/>
    <cellStyle name="Separador de milhares 2 6 3 2 2 2 3 3" xfId="4181" xr:uid="{00000000-0005-0000-0000-00003D0D0000}"/>
    <cellStyle name="Separador de milhares 2 6 3 2 2 2 4" xfId="2265" xr:uid="{00000000-0005-0000-0000-00003E0D0000}"/>
    <cellStyle name="Separador de milhares 2 6 3 2 2 2 4 2" xfId="4961" xr:uid="{00000000-0005-0000-0000-00003F0D0000}"/>
    <cellStyle name="Separador de milhares 2 6 3 2 2 2 5" xfId="3415" xr:uid="{00000000-0005-0000-0000-0000400D0000}"/>
    <cellStyle name="Separador de milhares 2 6 3 2 2 3" xfId="882" xr:uid="{00000000-0005-0000-0000-0000410D0000}"/>
    <cellStyle name="Separador de milhares 2 6 3 2 2 3 2" xfId="1649" xr:uid="{00000000-0005-0000-0000-0000420D0000}"/>
    <cellStyle name="Separador de milhares 2 6 3 2 2 3 2 2" xfId="2890" xr:uid="{00000000-0005-0000-0000-0000430D0000}"/>
    <cellStyle name="Separador de milhares 2 6 3 2 2 3 2 2 2" xfId="5586" xr:uid="{00000000-0005-0000-0000-0000440D0000}"/>
    <cellStyle name="Separador de milhares 2 6 3 2 2 3 2 3" xfId="4345" xr:uid="{00000000-0005-0000-0000-0000450D0000}"/>
    <cellStyle name="Separador de milhares 2 6 3 2 2 3 3" xfId="2390" xr:uid="{00000000-0005-0000-0000-0000460D0000}"/>
    <cellStyle name="Separador de milhares 2 6 3 2 2 3 3 2" xfId="5086" xr:uid="{00000000-0005-0000-0000-0000470D0000}"/>
    <cellStyle name="Separador de milhares 2 6 3 2 2 3 4" xfId="3579" xr:uid="{00000000-0005-0000-0000-0000480D0000}"/>
    <cellStyle name="Separador de milhares 2 6 3 2 2 4" xfId="1312" xr:uid="{00000000-0005-0000-0000-0000490D0000}"/>
    <cellStyle name="Separador de milhares 2 6 3 2 2 4 2" xfId="2640" xr:uid="{00000000-0005-0000-0000-00004A0D0000}"/>
    <cellStyle name="Separador de milhares 2 6 3 2 2 4 2 2" xfId="5336" xr:uid="{00000000-0005-0000-0000-00004B0D0000}"/>
    <cellStyle name="Separador de milhares 2 6 3 2 2 4 3" xfId="4008" xr:uid="{00000000-0005-0000-0000-00004C0D0000}"/>
    <cellStyle name="Separador de milhares 2 6 3 2 2 5" xfId="2140" xr:uid="{00000000-0005-0000-0000-00004D0D0000}"/>
    <cellStyle name="Separador de milhares 2 6 3 2 2 5 2" xfId="4836" xr:uid="{00000000-0005-0000-0000-00004E0D0000}"/>
    <cellStyle name="Separador de milhares 2 6 3 2 2 6" xfId="3242" xr:uid="{00000000-0005-0000-0000-00004F0D0000}"/>
    <cellStyle name="Separador de milhares 2 6 3 2 3" xfId="655" xr:uid="{00000000-0005-0000-0000-0000500D0000}"/>
    <cellStyle name="Separador de milhares 2 6 3 2 3 2" xfId="992" xr:uid="{00000000-0005-0000-0000-0000510D0000}"/>
    <cellStyle name="Separador de milhares 2 6 3 2 3 2 2" xfId="1759" xr:uid="{00000000-0005-0000-0000-0000520D0000}"/>
    <cellStyle name="Separador de milhares 2 6 3 2 3 2 2 2" xfId="2953" xr:uid="{00000000-0005-0000-0000-0000530D0000}"/>
    <cellStyle name="Separador de milhares 2 6 3 2 3 2 2 2 2" xfId="5649" xr:uid="{00000000-0005-0000-0000-0000540D0000}"/>
    <cellStyle name="Separador de milhares 2 6 3 2 3 2 2 3" xfId="4455" xr:uid="{00000000-0005-0000-0000-0000550D0000}"/>
    <cellStyle name="Separador de milhares 2 6 3 2 3 2 3" xfId="2453" xr:uid="{00000000-0005-0000-0000-0000560D0000}"/>
    <cellStyle name="Separador de milhares 2 6 3 2 3 2 3 2" xfId="5149" xr:uid="{00000000-0005-0000-0000-0000570D0000}"/>
    <cellStyle name="Separador de milhares 2 6 3 2 3 2 4" xfId="3689" xr:uid="{00000000-0005-0000-0000-0000580D0000}"/>
    <cellStyle name="Separador de milhares 2 6 3 2 3 3" xfId="1422" xr:uid="{00000000-0005-0000-0000-0000590D0000}"/>
    <cellStyle name="Separador de milhares 2 6 3 2 3 3 2" xfId="2703" xr:uid="{00000000-0005-0000-0000-00005A0D0000}"/>
    <cellStyle name="Separador de milhares 2 6 3 2 3 3 2 2" xfId="5399" xr:uid="{00000000-0005-0000-0000-00005B0D0000}"/>
    <cellStyle name="Separador de milhares 2 6 3 2 3 3 3" xfId="4118" xr:uid="{00000000-0005-0000-0000-00005C0D0000}"/>
    <cellStyle name="Separador de milhares 2 6 3 2 3 4" xfId="2203" xr:uid="{00000000-0005-0000-0000-00005D0D0000}"/>
    <cellStyle name="Separador de milhares 2 6 3 2 3 4 2" xfId="4899" xr:uid="{00000000-0005-0000-0000-00005E0D0000}"/>
    <cellStyle name="Separador de milhares 2 6 3 2 3 5" xfId="3352" xr:uid="{00000000-0005-0000-0000-00005F0D0000}"/>
    <cellStyle name="Separador de milhares 2 6 3 2 4" xfId="818" xr:uid="{00000000-0005-0000-0000-0000600D0000}"/>
    <cellStyle name="Separador de milhares 2 6 3 2 4 2" xfId="1585" xr:uid="{00000000-0005-0000-0000-0000610D0000}"/>
    <cellStyle name="Separador de milhares 2 6 3 2 4 2 2" xfId="2828" xr:uid="{00000000-0005-0000-0000-0000620D0000}"/>
    <cellStyle name="Separador de milhares 2 6 3 2 4 2 2 2" xfId="5524" xr:uid="{00000000-0005-0000-0000-0000630D0000}"/>
    <cellStyle name="Separador de milhares 2 6 3 2 4 2 3" xfId="4281" xr:uid="{00000000-0005-0000-0000-0000640D0000}"/>
    <cellStyle name="Separador de milhares 2 6 3 2 4 3" xfId="2328" xr:uid="{00000000-0005-0000-0000-0000650D0000}"/>
    <cellStyle name="Separador de milhares 2 6 3 2 4 3 2" xfId="5024" xr:uid="{00000000-0005-0000-0000-0000660D0000}"/>
    <cellStyle name="Separador de milhares 2 6 3 2 4 4" xfId="3515" xr:uid="{00000000-0005-0000-0000-0000670D0000}"/>
    <cellStyle name="Separador de milhares 2 6 3 2 5" xfId="1249" xr:uid="{00000000-0005-0000-0000-0000680D0000}"/>
    <cellStyle name="Separador de milhares 2 6 3 2 5 2" xfId="2578" xr:uid="{00000000-0005-0000-0000-0000690D0000}"/>
    <cellStyle name="Separador de milhares 2 6 3 2 5 2 2" xfId="5274" xr:uid="{00000000-0005-0000-0000-00006A0D0000}"/>
    <cellStyle name="Separador de milhares 2 6 3 2 5 3" xfId="3945" xr:uid="{00000000-0005-0000-0000-00006B0D0000}"/>
    <cellStyle name="Separador de milhares 2 6 3 2 6" xfId="2078" xr:uid="{00000000-0005-0000-0000-00006C0D0000}"/>
    <cellStyle name="Separador de milhares 2 6 3 2 6 2" xfId="4774" xr:uid="{00000000-0005-0000-0000-00006D0D0000}"/>
    <cellStyle name="Separador de milhares 2 6 3 2 7" xfId="3178" xr:uid="{00000000-0005-0000-0000-00006E0D0000}"/>
    <cellStyle name="Separador de milhares 2 6 3 3" xfId="2023" xr:uid="{00000000-0005-0000-0000-00006F0D0000}"/>
    <cellStyle name="Separador de milhares 2 6 3 3 2" xfId="4719" xr:uid="{00000000-0005-0000-0000-0000700D0000}"/>
    <cellStyle name="Separador de milhares 2 6 3 4" xfId="3122" xr:uid="{00000000-0005-0000-0000-0000710D0000}"/>
    <cellStyle name="Separador de milhares 2 6 4" xfId="458" xr:uid="{00000000-0005-0000-0000-0000720D0000}"/>
    <cellStyle name="Separador de milhares 2 6 4 2" xfId="523" xr:uid="{00000000-0005-0000-0000-0000730D0000}"/>
    <cellStyle name="Separador de milhares 2 6 4 2 2" xfId="697" xr:uid="{00000000-0005-0000-0000-0000740D0000}"/>
    <cellStyle name="Separador de milhares 2 6 4 2 2 2" xfId="1034" xr:uid="{00000000-0005-0000-0000-0000750D0000}"/>
    <cellStyle name="Separador de milhares 2 6 4 2 2 2 2" xfId="1801" xr:uid="{00000000-0005-0000-0000-0000760D0000}"/>
    <cellStyle name="Separador de milhares 2 6 4 2 2 2 2 2" xfId="2994" xr:uid="{00000000-0005-0000-0000-0000770D0000}"/>
    <cellStyle name="Separador de milhares 2 6 4 2 2 2 2 2 2" xfId="5690" xr:uid="{00000000-0005-0000-0000-0000780D0000}"/>
    <cellStyle name="Separador de milhares 2 6 4 2 2 2 2 3" xfId="4497" xr:uid="{00000000-0005-0000-0000-0000790D0000}"/>
    <cellStyle name="Separador de milhares 2 6 4 2 2 2 3" xfId="2494" xr:uid="{00000000-0005-0000-0000-00007A0D0000}"/>
    <cellStyle name="Separador de milhares 2 6 4 2 2 2 3 2" xfId="5190" xr:uid="{00000000-0005-0000-0000-00007B0D0000}"/>
    <cellStyle name="Separador de milhares 2 6 4 2 2 2 4" xfId="3731" xr:uid="{00000000-0005-0000-0000-00007C0D0000}"/>
    <cellStyle name="Separador de milhares 2 6 4 2 2 3" xfId="1464" xr:uid="{00000000-0005-0000-0000-00007D0D0000}"/>
    <cellStyle name="Separador de milhares 2 6 4 2 2 3 2" xfId="2744" xr:uid="{00000000-0005-0000-0000-00007E0D0000}"/>
    <cellStyle name="Separador de milhares 2 6 4 2 2 3 2 2" xfId="5440" xr:uid="{00000000-0005-0000-0000-00007F0D0000}"/>
    <cellStyle name="Separador de milhares 2 6 4 2 2 3 3" xfId="4160" xr:uid="{00000000-0005-0000-0000-0000800D0000}"/>
    <cellStyle name="Separador de milhares 2 6 4 2 2 4" xfId="2244" xr:uid="{00000000-0005-0000-0000-0000810D0000}"/>
    <cellStyle name="Separador de milhares 2 6 4 2 2 4 2" xfId="4940" xr:uid="{00000000-0005-0000-0000-0000820D0000}"/>
    <cellStyle name="Separador de milhares 2 6 4 2 2 5" xfId="3394" xr:uid="{00000000-0005-0000-0000-0000830D0000}"/>
    <cellStyle name="Separador de milhares 2 6 4 2 3" xfId="861" xr:uid="{00000000-0005-0000-0000-0000840D0000}"/>
    <cellStyle name="Separador de milhares 2 6 4 2 3 2" xfId="1628" xr:uid="{00000000-0005-0000-0000-0000850D0000}"/>
    <cellStyle name="Separador de milhares 2 6 4 2 3 2 2" xfId="2869" xr:uid="{00000000-0005-0000-0000-0000860D0000}"/>
    <cellStyle name="Separador de milhares 2 6 4 2 3 2 2 2" xfId="5565" xr:uid="{00000000-0005-0000-0000-0000870D0000}"/>
    <cellStyle name="Separador de milhares 2 6 4 2 3 2 3" xfId="4324" xr:uid="{00000000-0005-0000-0000-0000880D0000}"/>
    <cellStyle name="Separador de milhares 2 6 4 2 3 3" xfId="2369" xr:uid="{00000000-0005-0000-0000-0000890D0000}"/>
    <cellStyle name="Separador de milhares 2 6 4 2 3 3 2" xfId="5065" xr:uid="{00000000-0005-0000-0000-00008A0D0000}"/>
    <cellStyle name="Separador de milhares 2 6 4 2 3 4" xfId="3558" xr:uid="{00000000-0005-0000-0000-00008B0D0000}"/>
    <cellStyle name="Separador de milhares 2 6 4 2 4" xfId="1291" xr:uid="{00000000-0005-0000-0000-00008C0D0000}"/>
    <cellStyle name="Separador de milhares 2 6 4 2 4 2" xfId="2619" xr:uid="{00000000-0005-0000-0000-00008D0D0000}"/>
    <cellStyle name="Separador de milhares 2 6 4 2 4 2 2" xfId="5315" xr:uid="{00000000-0005-0000-0000-00008E0D0000}"/>
    <cellStyle name="Separador de milhares 2 6 4 2 4 3" xfId="3987" xr:uid="{00000000-0005-0000-0000-00008F0D0000}"/>
    <cellStyle name="Separador de milhares 2 6 4 2 5" xfId="2119" xr:uid="{00000000-0005-0000-0000-0000900D0000}"/>
    <cellStyle name="Separador de milhares 2 6 4 2 5 2" xfId="4815" xr:uid="{00000000-0005-0000-0000-0000910D0000}"/>
    <cellStyle name="Separador de milhares 2 6 4 2 6" xfId="3221" xr:uid="{00000000-0005-0000-0000-0000920D0000}"/>
    <cellStyle name="Separador de milhares 2 6 4 3" xfId="634" xr:uid="{00000000-0005-0000-0000-0000930D0000}"/>
    <cellStyle name="Separador de milhares 2 6 4 3 2" xfId="971" xr:uid="{00000000-0005-0000-0000-0000940D0000}"/>
    <cellStyle name="Separador de milhares 2 6 4 3 2 2" xfId="1738" xr:uid="{00000000-0005-0000-0000-0000950D0000}"/>
    <cellStyle name="Separador de milhares 2 6 4 3 2 2 2" xfId="2932" xr:uid="{00000000-0005-0000-0000-0000960D0000}"/>
    <cellStyle name="Separador de milhares 2 6 4 3 2 2 2 2" xfId="5628" xr:uid="{00000000-0005-0000-0000-0000970D0000}"/>
    <cellStyle name="Separador de milhares 2 6 4 3 2 2 3" xfId="4434" xr:uid="{00000000-0005-0000-0000-0000980D0000}"/>
    <cellStyle name="Separador de milhares 2 6 4 3 2 3" xfId="2432" xr:uid="{00000000-0005-0000-0000-0000990D0000}"/>
    <cellStyle name="Separador de milhares 2 6 4 3 2 3 2" xfId="5128" xr:uid="{00000000-0005-0000-0000-00009A0D0000}"/>
    <cellStyle name="Separador de milhares 2 6 4 3 2 4" xfId="3668" xr:uid="{00000000-0005-0000-0000-00009B0D0000}"/>
    <cellStyle name="Separador de milhares 2 6 4 3 3" xfId="1401" xr:uid="{00000000-0005-0000-0000-00009C0D0000}"/>
    <cellStyle name="Separador de milhares 2 6 4 3 3 2" xfId="2682" xr:uid="{00000000-0005-0000-0000-00009D0D0000}"/>
    <cellStyle name="Separador de milhares 2 6 4 3 3 2 2" xfId="5378" xr:uid="{00000000-0005-0000-0000-00009E0D0000}"/>
    <cellStyle name="Separador de milhares 2 6 4 3 3 3" xfId="4097" xr:uid="{00000000-0005-0000-0000-00009F0D0000}"/>
    <cellStyle name="Separador de milhares 2 6 4 3 4" xfId="2182" xr:uid="{00000000-0005-0000-0000-0000A00D0000}"/>
    <cellStyle name="Separador de milhares 2 6 4 3 4 2" xfId="4878" xr:uid="{00000000-0005-0000-0000-0000A10D0000}"/>
    <cellStyle name="Separador de milhares 2 6 4 3 5" xfId="3331" xr:uid="{00000000-0005-0000-0000-0000A20D0000}"/>
    <cellStyle name="Separador de milhares 2 6 4 4" xfId="797" xr:uid="{00000000-0005-0000-0000-0000A30D0000}"/>
    <cellStyle name="Separador de milhares 2 6 4 4 2" xfId="1564" xr:uid="{00000000-0005-0000-0000-0000A40D0000}"/>
    <cellStyle name="Separador de milhares 2 6 4 4 2 2" xfId="2807" xr:uid="{00000000-0005-0000-0000-0000A50D0000}"/>
    <cellStyle name="Separador de milhares 2 6 4 4 2 2 2" xfId="5503" xr:uid="{00000000-0005-0000-0000-0000A60D0000}"/>
    <cellStyle name="Separador de milhares 2 6 4 4 2 3" xfId="4260" xr:uid="{00000000-0005-0000-0000-0000A70D0000}"/>
    <cellStyle name="Separador de milhares 2 6 4 4 3" xfId="2307" xr:uid="{00000000-0005-0000-0000-0000A80D0000}"/>
    <cellStyle name="Separador de milhares 2 6 4 4 3 2" xfId="5003" xr:uid="{00000000-0005-0000-0000-0000A90D0000}"/>
    <cellStyle name="Separador de milhares 2 6 4 4 4" xfId="3494" xr:uid="{00000000-0005-0000-0000-0000AA0D0000}"/>
    <cellStyle name="Separador de milhares 2 6 4 5" xfId="1228" xr:uid="{00000000-0005-0000-0000-0000AB0D0000}"/>
    <cellStyle name="Separador de milhares 2 6 4 5 2" xfId="2557" xr:uid="{00000000-0005-0000-0000-0000AC0D0000}"/>
    <cellStyle name="Separador de milhares 2 6 4 5 2 2" xfId="5253" xr:uid="{00000000-0005-0000-0000-0000AD0D0000}"/>
    <cellStyle name="Separador de milhares 2 6 4 5 3" xfId="3924" xr:uid="{00000000-0005-0000-0000-0000AE0D0000}"/>
    <cellStyle name="Separador de milhares 2 6 4 6" xfId="2057" xr:uid="{00000000-0005-0000-0000-0000AF0D0000}"/>
    <cellStyle name="Separador de milhares 2 6 4 6 2" xfId="4753" xr:uid="{00000000-0005-0000-0000-0000B00D0000}"/>
    <cellStyle name="Separador de milhares 2 6 4 7" xfId="3157" xr:uid="{00000000-0005-0000-0000-0000B10D0000}"/>
    <cellStyle name="Separador de milhares 2 6 5" xfId="2001" xr:uid="{00000000-0005-0000-0000-0000B20D0000}"/>
    <cellStyle name="Separador de milhares 2 6 5 2" xfId="4697" xr:uid="{00000000-0005-0000-0000-0000B30D0000}"/>
    <cellStyle name="Separador de milhares 2 6 6" xfId="3099" xr:uid="{00000000-0005-0000-0000-0000B40D0000}"/>
    <cellStyle name="Separador de milhares 2 7" xfId="388" xr:uid="{00000000-0005-0000-0000-0000B50D0000}"/>
    <cellStyle name="Separador de milhares 2 7 2" xfId="389" xr:uid="{00000000-0005-0000-0000-0000B60D0000}"/>
    <cellStyle name="Separador de milhares 2 7 3" xfId="480" xr:uid="{00000000-0005-0000-0000-0000B70D0000}"/>
    <cellStyle name="Separador de milhares 2 7 3 2" xfId="545" xr:uid="{00000000-0005-0000-0000-0000B80D0000}"/>
    <cellStyle name="Separador de milhares 2 7 3 2 2" xfId="719" xr:uid="{00000000-0005-0000-0000-0000B90D0000}"/>
    <cellStyle name="Separador de milhares 2 7 3 2 2 2" xfId="1056" xr:uid="{00000000-0005-0000-0000-0000BA0D0000}"/>
    <cellStyle name="Separador de milhares 2 7 3 2 2 2 2" xfId="1823" xr:uid="{00000000-0005-0000-0000-0000BB0D0000}"/>
    <cellStyle name="Separador de milhares 2 7 3 2 2 2 2 2" xfId="3016" xr:uid="{00000000-0005-0000-0000-0000BC0D0000}"/>
    <cellStyle name="Separador de milhares 2 7 3 2 2 2 2 2 2" xfId="5712" xr:uid="{00000000-0005-0000-0000-0000BD0D0000}"/>
    <cellStyle name="Separador de milhares 2 7 3 2 2 2 2 3" xfId="4519" xr:uid="{00000000-0005-0000-0000-0000BE0D0000}"/>
    <cellStyle name="Separador de milhares 2 7 3 2 2 2 3" xfId="2516" xr:uid="{00000000-0005-0000-0000-0000BF0D0000}"/>
    <cellStyle name="Separador de milhares 2 7 3 2 2 2 3 2" xfId="5212" xr:uid="{00000000-0005-0000-0000-0000C00D0000}"/>
    <cellStyle name="Separador de milhares 2 7 3 2 2 2 4" xfId="3753" xr:uid="{00000000-0005-0000-0000-0000C10D0000}"/>
    <cellStyle name="Separador de milhares 2 7 3 2 2 3" xfId="1486" xr:uid="{00000000-0005-0000-0000-0000C20D0000}"/>
    <cellStyle name="Separador de milhares 2 7 3 2 2 3 2" xfId="2766" xr:uid="{00000000-0005-0000-0000-0000C30D0000}"/>
    <cellStyle name="Separador de milhares 2 7 3 2 2 3 2 2" xfId="5462" xr:uid="{00000000-0005-0000-0000-0000C40D0000}"/>
    <cellStyle name="Separador de milhares 2 7 3 2 2 3 3" xfId="4182" xr:uid="{00000000-0005-0000-0000-0000C50D0000}"/>
    <cellStyle name="Separador de milhares 2 7 3 2 2 4" xfId="2266" xr:uid="{00000000-0005-0000-0000-0000C60D0000}"/>
    <cellStyle name="Separador de milhares 2 7 3 2 2 4 2" xfId="4962" xr:uid="{00000000-0005-0000-0000-0000C70D0000}"/>
    <cellStyle name="Separador de milhares 2 7 3 2 2 5" xfId="3416" xr:uid="{00000000-0005-0000-0000-0000C80D0000}"/>
    <cellStyle name="Separador de milhares 2 7 3 2 3" xfId="883" xr:uid="{00000000-0005-0000-0000-0000C90D0000}"/>
    <cellStyle name="Separador de milhares 2 7 3 2 3 2" xfId="1650" xr:uid="{00000000-0005-0000-0000-0000CA0D0000}"/>
    <cellStyle name="Separador de milhares 2 7 3 2 3 2 2" xfId="2891" xr:uid="{00000000-0005-0000-0000-0000CB0D0000}"/>
    <cellStyle name="Separador de milhares 2 7 3 2 3 2 2 2" xfId="5587" xr:uid="{00000000-0005-0000-0000-0000CC0D0000}"/>
    <cellStyle name="Separador de milhares 2 7 3 2 3 2 3" xfId="4346" xr:uid="{00000000-0005-0000-0000-0000CD0D0000}"/>
    <cellStyle name="Separador de milhares 2 7 3 2 3 3" xfId="2391" xr:uid="{00000000-0005-0000-0000-0000CE0D0000}"/>
    <cellStyle name="Separador de milhares 2 7 3 2 3 3 2" xfId="5087" xr:uid="{00000000-0005-0000-0000-0000CF0D0000}"/>
    <cellStyle name="Separador de milhares 2 7 3 2 3 4" xfId="3580" xr:uid="{00000000-0005-0000-0000-0000D00D0000}"/>
    <cellStyle name="Separador de milhares 2 7 3 2 4" xfId="1313" xr:uid="{00000000-0005-0000-0000-0000D10D0000}"/>
    <cellStyle name="Separador de milhares 2 7 3 2 4 2" xfId="2641" xr:uid="{00000000-0005-0000-0000-0000D20D0000}"/>
    <cellStyle name="Separador de milhares 2 7 3 2 4 2 2" xfId="5337" xr:uid="{00000000-0005-0000-0000-0000D30D0000}"/>
    <cellStyle name="Separador de milhares 2 7 3 2 4 3" xfId="4009" xr:uid="{00000000-0005-0000-0000-0000D40D0000}"/>
    <cellStyle name="Separador de milhares 2 7 3 2 5" xfId="2141" xr:uid="{00000000-0005-0000-0000-0000D50D0000}"/>
    <cellStyle name="Separador de milhares 2 7 3 2 5 2" xfId="4837" xr:uid="{00000000-0005-0000-0000-0000D60D0000}"/>
    <cellStyle name="Separador de milhares 2 7 3 2 6" xfId="3243" xr:uid="{00000000-0005-0000-0000-0000D70D0000}"/>
    <cellStyle name="Separador de milhares 2 7 3 3" xfId="656" xr:uid="{00000000-0005-0000-0000-0000D80D0000}"/>
    <cellStyle name="Separador de milhares 2 7 3 3 2" xfId="993" xr:uid="{00000000-0005-0000-0000-0000D90D0000}"/>
    <cellStyle name="Separador de milhares 2 7 3 3 2 2" xfId="1760" xr:uid="{00000000-0005-0000-0000-0000DA0D0000}"/>
    <cellStyle name="Separador de milhares 2 7 3 3 2 2 2" xfId="2954" xr:uid="{00000000-0005-0000-0000-0000DB0D0000}"/>
    <cellStyle name="Separador de milhares 2 7 3 3 2 2 2 2" xfId="5650" xr:uid="{00000000-0005-0000-0000-0000DC0D0000}"/>
    <cellStyle name="Separador de milhares 2 7 3 3 2 2 3" xfId="4456" xr:uid="{00000000-0005-0000-0000-0000DD0D0000}"/>
    <cellStyle name="Separador de milhares 2 7 3 3 2 3" xfId="2454" xr:uid="{00000000-0005-0000-0000-0000DE0D0000}"/>
    <cellStyle name="Separador de milhares 2 7 3 3 2 3 2" xfId="5150" xr:uid="{00000000-0005-0000-0000-0000DF0D0000}"/>
    <cellStyle name="Separador de milhares 2 7 3 3 2 4" xfId="3690" xr:uid="{00000000-0005-0000-0000-0000E00D0000}"/>
    <cellStyle name="Separador de milhares 2 7 3 3 3" xfId="1423" xr:uid="{00000000-0005-0000-0000-0000E10D0000}"/>
    <cellStyle name="Separador de milhares 2 7 3 3 3 2" xfId="2704" xr:uid="{00000000-0005-0000-0000-0000E20D0000}"/>
    <cellStyle name="Separador de milhares 2 7 3 3 3 2 2" xfId="5400" xr:uid="{00000000-0005-0000-0000-0000E30D0000}"/>
    <cellStyle name="Separador de milhares 2 7 3 3 3 3" xfId="4119" xr:uid="{00000000-0005-0000-0000-0000E40D0000}"/>
    <cellStyle name="Separador de milhares 2 7 3 3 4" xfId="2204" xr:uid="{00000000-0005-0000-0000-0000E50D0000}"/>
    <cellStyle name="Separador de milhares 2 7 3 3 4 2" xfId="4900" xr:uid="{00000000-0005-0000-0000-0000E60D0000}"/>
    <cellStyle name="Separador de milhares 2 7 3 3 5" xfId="3353" xr:uid="{00000000-0005-0000-0000-0000E70D0000}"/>
    <cellStyle name="Separador de milhares 2 7 3 4" xfId="819" xr:uid="{00000000-0005-0000-0000-0000E80D0000}"/>
    <cellStyle name="Separador de milhares 2 7 3 4 2" xfId="1586" xr:uid="{00000000-0005-0000-0000-0000E90D0000}"/>
    <cellStyle name="Separador de milhares 2 7 3 4 2 2" xfId="2829" xr:uid="{00000000-0005-0000-0000-0000EA0D0000}"/>
    <cellStyle name="Separador de milhares 2 7 3 4 2 2 2" xfId="5525" xr:uid="{00000000-0005-0000-0000-0000EB0D0000}"/>
    <cellStyle name="Separador de milhares 2 7 3 4 2 3" xfId="4282" xr:uid="{00000000-0005-0000-0000-0000EC0D0000}"/>
    <cellStyle name="Separador de milhares 2 7 3 4 3" xfId="2329" xr:uid="{00000000-0005-0000-0000-0000ED0D0000}"/>
    <cellStyle name="Separador de milhares 2 7 3 4 3 2" xfId="5025" xr:uid="{00000000-0005-0000-0000-0000EE0D0000}"/>
    <cellStyle name="Separador de milhares 2 7 3 4 4" xfId="3516" xr:uid="{00000000-0005-0000-0000-0000EF0D0000}"/>
    <cellStyle name="Separador de milhares 2 7 3 5" xfId="1250" xr:uid="{00000000-0005-0000-0000-0000F00D0000}"/>
    <cellStyle name="Separador de milhares 2 7 3 5 2" xfId="2579" xr:uid="{00000000-0005-0000-0000-0000F10D0000}"/>
    <cellStyle name="Separador de milhares 2 7 3 5 2 2" xfId="5275" xr:uid="{00000000-0005-0000-0000-0000F20D0000}"/>
    <cellStyle name="Separador de milhares 2 7 3 5 3" xfId="3946" xr:uid="{00000000-0005-0000-0000-0000F30D0000}"/>
    <cellStyle name="Separador de milhares 2 7 3 6" xfId="2079" xr:uid="{00000000-0005-0000-0000-0000F40D0000}"/>
    <cellStyle name="Separador de milhares 2 7 3 6 2" xfId="4775" xr:uid="{00000000-0005-0000-0000-0000F50D0000}"/>
    <cellStyle name="Separador de milhares 2 7 3 7" xfId="3179" xr:uid="{00000000-0005-0000-0000-0000F60D0000}"/>
    <cellStyle name="Separador de milhares 2 7 4" xfId="2024" xr:uid="{00000000-0005-0000-0000-0000F70D0000}"/>
    <cellStyle name="Separador de milhares 2 7 4 2" xfId="4720" xr:uid="{00000000-0005-0000-0000-0000F80D0000}"/>
    <cellStyle name="Separador de milhares 2 7 5" xfId="3123" xr:uid="{00000000-0005-0000-0000-0000F90D0000}"/>
    <cellStyle name="Separador de milhares 2 8" xfId="390" xr:uid="{00000000-0005-0000-0000-0000FA0D0000}"/>
    <cellStyle name="Separador de milhares 2 9" xfId="391" xr:uid="{00000000-0005-0000-0000-0000FB0D0000}"/>
    <cellStyle name="Separador de milhares 2_10ª MP DER" xfId="152" xr:uid="{00000000-0005-0000-0000-0000FC0D0000}"/>
    <cellStyle name="Separador de milhares 20" xfId="392" xr:uid="{00000000-0005-0000-0000-0000FD0D0000}"/>
    <cellStyle name="Separador de milhares 21" xfId="393" xr:uid="{00000000-0005-0000-0000-0000FE0D0000}"/>
    <cellStyle name="Separador de milhares 22" xfId="394" xr:uid="{00000000-0005-0000-0000-0000FF0D0000}"/>
    <cellStyle name="Separador de milhares 23" xfId="395" xr:uid="{00000000-0005-0000-0000-0000000E0000}"/>
    <cellStyle name="Separador de milhares 24" xfId="396" xr:uid="{00000000-0005-0000-0000-0000010E0000}"/>
    <cellStyle name="Separador de milhares 25" xfId="397" xr:uid="{00000000-0005-0000-0000-0000020E0000}"/>
    <cellStyle name="Separador de milhares 26" xfId="398" xr:uid="{00000000-0005-0000-0000-0000030E0000}"/>
    <cellStyle name="Separador de milhares 27" xfId="399" xr:uid="{00000000-0005-0000-0000-0000040E0000}"/>
    <cellStyle name="Separador de milhares 28" xfId="400" xr:uid="{00000000-0005-0000-0000-0000050E0000}"/>
    <cellStyle name="Separador de milhares 29" xfId="401" xr:uid="{00000000-0005-0000-0000-0000060E0000}"/>
    <cellStyle name="Separador de milhares 3" xfId="52" xr:uid="{00000000-0005-0000-0000-0000070E0000}"/>
    <cellStyle name="Separador de milhares 3 10" xfId="3034" xr:uid="{00000000-0005-0000-0000-0000080E0000}"/>
    <cellStyle name="Separador de milhares 3 10 2" xfId="5729" xr:uid="{00000000-0005-0000-0000-0000090E0000}"/>
    <cellStyle name="Separador de milhares 3 11" xfId="3061" xr:uid="{00000000-0005-0000-0000-00000A0E0000}"/>
    <cellStyle name="Separador de milhares 3 13" xfId="438" xr:uid="{00000000-0005-0000-0000-00000B0E0000}"/>
    <cellStyle name="Separador de milhares 3 2" xfId="71" xr:uid="{00000000-0005-0000-0000-00000C0E0000}"/>
    <cellStyle name="Separador de milhares 3 2 2" xfId="114" xr:uid="{00000000-0005-0000-0000-00000D0E0000}"/>
    <cellStyle name="Separador de milhares 3 2 2 2" xfId="481" xr:uid="{00000000-0005-0000-0000-00000E0E0000}"/>
    <cellStyle name="Separador de milhares 3 2 2 2 2" xfId="546" xr:uid="{00000000-0005-0000-0000-00000F0E0000}"/>
    <cellStyle name="Separador de milhares 3 2 2 2 2 2" xfId="720" xr:uid="{00000000-0005-0000-0000-0000100E0000}"/>
    <cellStyle name="Separador de milhares 3 2 2 2 2 2 2" xfId="1057" xr:uid="{00000000-0005-0000-0000-0000110E0000}"/>
    <cellStyle name="Separador de milhares 3 2 2 2 2 2 2 2" xfId="1824" xr:uid="{00000000-0005-0000-0000-0000120E0000}"/>
    <cellStyle name="Separador de milhares 3 2 2 2 2 2 2 2 2" xfId="3017" xr:uid="{00000000-0005-0000-0000-0000130E0000}"/>
    <cellStyle name="Separador de milhares 3 2 2 2 2 2 2 2 2 2" xfId="5713" xr:uid="{00000000-0005-0000-0000-0000140E0000}"/>
    <cellStyle name="Separador de milhares 3 2 2 2 2 2 2 2 3" xfId="4520" xr:uid="{00000000-0005-0000-0000-0000150E0000}"/>
    <cellStyle name="Separador de milhares 3 2 2 2 2 2 2 3" xfId="2517" xr:uid="{00000000-0005-0000-0000-0000160E0000}"/>
    <cellStyle name="Separador de milhares 3 2 2 2 2 2 2 3 2" xfId="5213" xr:uid="{00000000-0005-0000-0000-0000170E0000}"/>
    <cellStyle name="Separador de milhares 3 2 2 2 2 2 2 4" xfId="3754" xr:uid="{00000000-0005-0000-0000-0000180E0000}"/>
    <cellStyle name="Separador de milhares 3 2 2 2 2 2 3" xfId="1487" xr:uid="{00000000-0005-0000-0000-0000190E0000}"/>
    <cellStyle name="Separador de milhares 3 2 2 2 2 2 3 2" xfId="2767" xr:uid="{00000000-0005-0000-0000-00001A0E0000}"/>
    <cellStyle name="Separador de milhares 3 2 2 2 2 2 3 2 2" xfId="5463" xr:uid="{00000000-0005-0000-0000-00001B0E0000}"/>
    <cellStyle name="Separador de milhares 3 2 2 2 2 2 3 3" xfId="4183" xr:uid="{00000000-0005-0000-0000-00001C0E0000}"/>
    <cellStyle name="Separador de milhares 3 2 2 2 2 2 4" xfId="2267" xr:uid="{00000000-0005-0000-0000-00001D0E0000}"/>
    <cellStyle name="Separador de milhares 3 2 2 2 2 2 4 2" xfId="4963" xr:uid="{00000000-0005-0000-0000-00001E0E0000}"/>
    <cellStyle name="Separador de milhares 3 2 2 2 2 2 5" xfId="3417" xr:uid="{00000000-0005-0000-0000-00001F0E0000}"/>
    <cellStyle name="Separador de milhares 3 2 2 2 2 3" xfId="884" xr:uid="{00000000-0005-0000-0000-0000200E0000}"/>
    <cellStyle name="Separador de milhares 3 2 2 2 2 3 2" xfId="1651" xr:uid="{00000000-0005-0000-0000-0000210E0000}"/>
    <cellStyle name="Separador de milhares 3 2 2 2 2 3 2 2" xfId="2892" xr:uid="{00000000-0005-0000-0000-0000220E0000}"/>
    <cellStyle name="Separador de milhares 3 2 2 2 2 3 2 2 2" xfId="5588" xr:uid="{00000000-0005-0000-0000-0000230E0000}"/>
    <cellStyle name="Separador de milhares 3 2 2 2 2 3 2 3" xfId="4347" xr:uid="{00000000-0005-0000-0000-0000240E0000}"/>
    <cellStyle name="Separador de milhares 3 2 2 2 2 3 3" xfId="2392" xr:uid="{00000000-0005-0000-0000-0000250E0000}"/>
    <cellStyle name="Separador de milhares 3 2 2 2 2 3 3 2" xfId="5088" xr:uid="{00000000-0005-0000-0000-0000260E0000}"/>
    <cellStyle name="Separador de milhares 3 2 2 2 2 3 4" xfId="3581" xr:uid="{00000000-0005-0000-0000-0000270E0000}"/>
    <cellStyle name="Separador de milhares 3 2 2 2 2 4" xfId="1314" xr:uid="{00000000-0005-0000-0000-0000280E0000}"/>
    <cellStyle name="Separador de milhares 3 2 2 2 2 4 2" xfId="2642" xr:uid="{00000000-0005-0000-0000-0000290E0000}"/>
    <cellStyle name="Separador de milhares 3 2 2 2 2 4 2 2" xfId="5338" xr:uid="{00000000-0005-0000-0000-00002A0E0000}"/>
    <cellStyle name="Separador de milhares 3 2 2 2 2 4 3" xfId="4010" xr:uid="{00000000-0005-0000-0000-00002B0E0000}"/>
    <cellStyle name="Separador de milhares 3 2 2 2 2 5" xfId="2142" xr:uid="{00000000-0005-0000-0000-00002C0E0000}"/>
    <cellStyle name="Separador de milhares 3 2 2 2 2 5 2" xfId="4838" xr:uid="{00000000-0005-0000-0000-00002D0E0000}"/>
    <cellStyle name="Separador de milhares 3 2 2 2 2 6" xfId="3244" xr:uid="{00000000-0005-0000-0000-00002E0E0000}"/>
    <cellStyle name="Separador de milhares 3 2 2 2 3" xfId="657" xr:uid="{00000000-0005-0000-0000-00002F0E0000}"/>
    <cellStyle name="Separador de milhares 3 2 2 2 3 2" xfId="994" xr:uid="{00000000-0005-0000-0000-0000300E0000}"/>
    <cellStyle name="Separador de milhares 3 2 2 2 3 2 2" xfId="1761" xr:uid="{00000000-0005-0000-0000-0000310E0000}"/>
    <cellStyle name="Separador de milhares 3 2 2 2 3 2 2 2" xfId="2955" xr:uid="{00000000-0005-0000-0000-0000320E0000}"/>
    <cellStyle name="Separador de milhares 3 2 2 2 3 2 2 2 2" xfId="5651" xr:uid="{00000000-0005-0000-0000-0000330E0000}"/>
    <cellStyle name="Separador de milhares 3 2 2 2 3 2 2 3" xfId="4457" xr:uid="{00000000-0005-0000-0000-0000340E0000}"/>
    <cellStyle name="Separador de milhares 3 2 2 2 3 2 3" xfId="2455" xr:uid="{00000000-0005-0000-0000-0000350E0000}"/>
    <cellStyle name="Separador de milhares 3 2 2 2 3 2 3 2" xfId="5151" xr:uid="{00000000-0005-0000-0000-0000360E0000}"/>
    <cellStyle name="Separador de milhares 3 2 2 2 3 2 4" xfId="3691" xr:uid="{00000000-0005-0000-0000-0000370E0000}"/>
    <cellStyle name="Separador de milhares 3 2 2 2 3 3" xfId="1424" xr:uid="{00000000-0005-0000-0000-0000380E0000}"/>
    <cellStyle name="Separador de milhares 3 2 2 2 3 3 2" xfId="2705" xr:uid="{00000000-0005-0000-0000-0000390E0000}"/>
    <cellStyle name="Separador de milhares 3 2 2 2 3 3 2 2" xfId="5401" xr:uid="{00000000-0005-0000-0000-00003A0E0000}"/>
    <cellStyle name="Separador de milhares 3 2 2 2 3 3 3" xfId="4120" xr:uid="{00000000-0005-0000-0000-00003B0E0000}"/>
    <cellStyle name="Separador de milhares 3 2 2 2 3 4" xfId="2205" xr:uid="{00000000-0005-0000-0000-00003C0E0000}"/>
    <cellStyle name="Separador de milhares 3 2 2 2 3 4 2" xfId="4901" xr:uid="{00000000-0005-0000-0000-00003D0E0000}"/>
    <cellStyle name="Separador de milhares 3 2 2 2 3 5" xfId="3354" xr:uid="{00000000-0005-0000-0000-00003E0E0000}"/>
    <cellStyle name="Separador de milhares 3 2 2 2 4" xfId="820" xr:uid="{00000000-0005-0000-0000-00003F0E0000}"/>
    <cellStyle name="Separador de milhares 3 2 2 2 4 2" xfId="1587" xr:uid="{00000000-0005-0000-0000-0000400E0000}"/>
    <cellStyle name="Separador de milhares 3 2 2 2 4 2 2" xfId="2830" xr:uid="{00000000-0005-0000-0000-0000410E0000}"/>
    <cellStyle name="Separador de milhares 3 2 2 2 4 2 2 2" xfId="5526" xr:uid="{00000000-0005-0000-0000-0000420E0000}"/>
    <cellStyle name="Separador de milhares 3 2 2 2 4 2 3" xfId="4283" xr:uid="{00000000-0005-0000-0000-0000430E0000}"/>
    <cellStyle name="Separador de milhares 3 2 2 2 4 3" xfId="2330" xr:uid="{00000000-0005-0000-0000-0000440E0000}"/>
    <cellStyle name="Separador de milhares 3 2 2 2 4 3 2" xfId="5026" xr:uid="{00000000-0005-0000-0000-0000450E0000}"/>
    <cellStyle name="Separador de milhares 3 2 2 2 4 4" xfId="3517" xr:uid="{00000000-0005-0000-0000-0000460E0000}"/>
    <cellStyle name="Separador de milhares 3 2 2 2 5" xfId="1251" xr:uid="{00000000-0005-0000-0000-0000470E0000}"/>
    <cellStyle name="Separador de milhares 3 2 2 2 5 2" xfId="2580" xr:uid="{00000000-0005-0000-0000-0000480E0000}"/>
    <cellStyle name="Separador de milhares 3 2 2 2 5 2 2" xfId="5276" xr:uid="{00000000-0005-0000-0000-0000490E0000}"/>
    <cellStyle name="Separador de milhares 3 2 2 2 5 3" xfId="3947" xr:uid="{00000000-0005-0000-0000-00004A0E0000}"/>
    <cellStyle name="Separador de milhares 3 2 2 2 6" xfId="2080" xr:uid="{00000000-0005-0000-0000-00004B0E0000}"/>
    <cellStyle name="Separador de milhares 3 2 2 2 6 2" xfId="4776" xr:uid="{00000000-0005-0000-0000-00004C0E0000}"/>
    <cellStyle name="Separador de milhares 3 2 2 2 7" xfId="3180" xr:uid="{00000000-0005-0000-0000-00004D0E0000}"/>
    <cellStyle name="Separador de milhares 3 2 2 3" xfId="402" xr:uid="{00000000-0005-0000-0000-00004E0E0000}"/>
    <cellStyle name="Separador de milhares 3 2 2 3 2" xfId="2025" xr:uid="{00000000-0005-0000-0000-00004F0E0000}"/>
    <cellStyle name="Separador de milhares 3 2 2 3 2 2" xfId="4721" xr:uid="{00000000-0005-0000-0000-0000500E0000}"/>
    <cellStyle name="Separador de milhares 3 2 2 3 3" xfId="3124" xr:uid="{00000000-0005-0000-0000-0000510E0000}"/>
    <cellStyle name="Separador de milhares 3 2 3" xfId="452" xr:uid="{00000000-0005-0000-0000-0000520E0000}"/>
    <cellStyle name="Separador de milhares 3 2 3 2" xfId="517" xr:uid="{00000000-0005-0000-0000-0000530E0000}"/>
    <cellStyle name="Separador de milhares 3 2 3 2 2" xfId="691" xr:uid="{00000000-0005-0000-0000-0000540E0000}"/>
    <cellStyle name="Separador de milhares 3 2 3 2 2 2" xfId="1028" xr:uid="{00000000-0005-0000-0000-0000550E0000}"/>
    <cellStyle name="Separador de milhares 3 2 3 2 2 2 2" xfId="1795" xr:uid="{00000000-0005-0000-0000-0000560E0000}"/>
    <cellStyle name="Separador de milhares 3 2 3 2 2 2 2 2" xfId="2988" xr:uid="{00000000-0005-0000-0000-0000570E0000}"/>
    <cellStyle name="Separador de milhares 3 2 3 2 2 2 2 2 2" xfId="5684" xr:uid="{00000000-0005-0000-0000-0000580E0000}"/>
    <cellStyle name="Separador de milhares 3 2 3 2 2 2 2 3" xfId="4491" xr:uid="{00000000-0005-0000-0000-0000590E0000}"/>
    <cellStyle name="Separador de milhares 3 2 3 2 2 2 3" xfId="2488" xr:uid="{00000000-0005-0000-0000-00005A0E0000}"/>
    <cellStyle name="Separador de milhares 3 2 3 2 2 2 3 2" xfId="5184" xr:uid="{00000000-0005-0000-0000-00005B0E0000}"/>
    <cellStyle name="Separador de milhares 3 2 3 2 2 2 4" xfId="3725" xr:uid="{00000000-0005-0000-0000-00005C0E0000}"/>
    <cellStyle name="Separador de milhares 3 2 3 2 2 3" xfId="1458" xr:uid="{00000000-0005-0000-0000-00005D0E0000}"/>
    <cellStyle name="Separador de milhares 3 2 3 2 2 3 2" xfId="2738" xr:uid="{00000000-0005-0000-0000-00005E0E0000}"/>
    <cellStyle name="Separador de milhares 3 2 3 2 2 3 2 2" xfId="5434" xr:uid="{00000000-0005-0000-0000-00005F0E0000}"/>
    <cellStyle name="Separador de milhares 3 2 3 2 2 3 3" xfId="4154" xr:uid="{00000000-0005-0000-0000-0000600E0000}"/>
    <cellStyle name="Separador de milhares 3 2 3 2 2 4" xfId="2238" xr:uid="{00000000-0005-0000-0000-0000610E0000}"/>
    <cellStyle name="Separador de milhares 3 2 3 2 2 4 2" xfId="4934" xr:uid="{00000000-0005-0000-0000-0000620E0000}"/>
    <cellStyle name="Separador de milhares 3 2 3 2 2 5" xfId="3388" xr:uid="{00000000-0005-0000-0000-0000630E0000}"/>
    <cellStyle name="Separador de milhares 3 2 3 2 3" xfId="855" xr:uid="{00000000-0005-0000-0000-0000640E0000}"/>
    <cellStyle name="Separador de milhares 3 2 3 2 3 2" xfId="1622" xr:uid="{00000000-0005-0000-0000-0000650E0000}"/>
    <cellStyle name="Separador de milhares 3 2 3 2 3 2 2" xfId="2863" xr:uid="{00000000-0005-0000-0000-0000660E0000}"/>
    <cellStyle name="Separador de milhares 3 2 3 2 3 2 2 2" xfId="5559" xr:uid="{00000000-0005-0000-0000-0000670E0000}"/>
    <cellStyle name="Separador de milhares 3 2 3 2 3 2 3" xfId="4318" xr:uid="{00000000-0005-0000-0000-0000680E0000}"/>
    <cellStyle name="Separador de milhares 3 2 3 2 3 3" xfId="2363" xr:uid="{00000000-0005-0000-0000-0000690E0000}"/>
    <cellStyle name="Separador de milhares 3 2 3 2 3 3 2" xfId="5059" xr:uid="{00000000-0005-0000-0000-00006A0E0000}"/>
    <cellStyle name="Separador de milhares 3 2 3 2 3 4" xfId="3552" xr:uid="{00000000-0005-0000-0000-00006B0E0000}"/>
    <cellStyle name="Separador de milhares 3 2 3 2 4" xfId="1285" xr:uid="{00000000-0005-0000-0000-00006C0E0000}"/>
    <cellStyle name="Separador de milhares 3 2 3 2 4 2" xfId="2613" xr:uid="{00000000-0005-0000-0000-00006D0E0000}"/>
    <cellStyle name="Separador de milhares 3 2 3 2 4 2 2" xfId="5309" xr:uid="{00000000-0005-0000-0000-00006E0E0000}"/>
    <cellStyle name="Separador de milhares 3 2 3 2 4 3" xfId="3981" xr:uid="{00000000-0005-0000-0000-00006F0E0000}"/>
    <cellStyle name="Separador de milhares 3 2 3 2 5" xfId="2113" xr:uid="{00000000-0005-0000-0000-0000700E0000}"/>
    <cellStyle name="Separador de milhares 3 2 3 2 5 2" xfId="4809" xr:uid="{00000000-0005-0000-0000-0000710E0000}"/>
    <cellStyle name="Separador de milhares 3 2 3 2 6" xfId="3215" xr:uid="{00000000-0005-0000-0000-0000720E0000}"/>
    <cellStyle name="Separador de milhares 3 2 3 3" xfId="628" xr:uid="{00000000-0005-0000-0000-0000730E0000}"/>
    <cellStyle name="Separador de milhares 3 2 3 3 2" xfId="965" xr:uid="{00000000-0005-0000-0000-0000740E0000}"/>
    <cellStyle name="Separador de milhares 3 2 3 3 2 2" xfId="1732" xr:uid="{00000000-0005-0000-0000-0000750E0000}"/>
    <cellStyle name="Separador de milhares 3 2 3 3 2 2 2" xfId="2926" xr:uid="{00000000-0005-0000-0000-0000760E0000}"/>
    <cellStyle name="Separador de milhares 3 2 3 3 2 2 2 2" xfId="5622" xr:uid="{00000000-0005-0000-0000-0000770E0000}"/>
    <cellStyle name="Separador de milhares 3 2 3 3 2 2 3" xfId="4428" xr:uid="{00000000-0005-0000-0000-0000780E0000}"/>
    <cellStyle name="Separador de milhares 3 2 3 3 2 3" xfId="2426" xr:uid="{00000000-0005-0000-0000-0000790E0000}"/>
    <cellStyle name="Separador de milhares 3 2 3 3 2 3 2" xfId="5122" xr:uid="{00000000-0005-0000-0000-00007A0E0000}"/>
    <cellStyle name="Separador de milhares 3 2 3 3 2 4" xfId="3662" xr:uid="{00000000-0005-0000-0000-00007B0E0000}"/>
    <cellStyle name="Separador de milhares 3 2 3 3 3" xfId="1395" xr:uid="{00000000-0005-0000-0000-00007C0E0000}"/>
    <cellStyle name="Separador de milhares 3 2 3 3 3 2" xfId="2676" xr:uid="{00000000-0005-0000-0000-00007D0E0000}"/>
    <cellStyle name="Separador de milhares 3 2 3 3 3 2 2" xfId="5372" xr:uid="{00000000-0005-0000-0000-00007E0E0000}"/>
    <cellStyle name="Separador de milhares 3 2 3 3 3 3" xfId="4091" xr:uid="{00000000-0005-0000-0000-00007F0E0000}"/>
    <cellStyle name="Separador de milhares 3 2 3 3 4" xfId="2176" xr:uid="{00000000-0005-0000-0000-0000800E0000}"/>
    <cellStyle name="Separador de milhares 3 2 3 3 4 2" xfId="4872" xr:uid="{00000000-0005-0000-0000-0000810E0000}"/>
    <cellStyle name="Separador de milhares 3 2 3 3 5" xfId="3325" xr:uid="{00000000-0005-0000-0000-0000820E0000}"/>
    <cellStyle name="Separador de milhares 3 2 3 4" xfId="791" xr:uid="{00000000-0005-0000-0000-0000830E0000}"/>
    <cellStyle name="Separador de milhares 3 2 3 4 2" xfId="1558" xr:uid="{00000000-0005-0000-0000-0000840E0000}"/>
    <cellStyle name="Separador de milhares 3 2 3 4 2 2" xfId="2801" xr:uid="{00000000-0005-0000-0000-0000850E0000}"/>
    <cellStyle name="Separador de milhares 3 2 3 4 2 2 2" xfId="5497" xr:uid="{00000000-0005-0000-0000-0000860E0000}"/>
    <cellStyle name="Separador de milhares 3 2 3 4 2 3" xfId="4254" xr:uid="{00000000-0005-0000-0000-0000870E0000}"/>
    <cellStyle name="Separador de milhares 3 2 3 4 3" xfId="2301" xr:uid="{00000000-0005-0000-0000-0000880E0000}"/>
    <cellStyle name="Separador de milhares 3 2 3 4 3 2" xfId="4997" xr:uid="{00000000-0005-0000-0000-0000890E0000}"/>
    <cellStyle name="Separador de milhares 3 2 3 4 4" xfId="3488" xr:uid="{00000000-0005-0000-0000-00008A0E0000}"/>
    <cellStyle name="Separador de milhares 3 2 3 5" xfId="1222" xr:uid="{00000000-0005-0000-0000-00008B0E0000}"/>
    <cellStyle name="Separador de milhares 3 2 3 5 2" xfId="2551" xr:uid="{00000000-0005-0000-0000-00008C0E0000}"/>
    <cellStyle name="Separador de milhares 3 2 3 5 2 2" xfId="5247" xr:uid="{00000000-0005-0000-0000-00008D0E0000}"/>
    <cellStyle name="Separador de milhares 3 2 3 5 3" xfId="3918" xr:uid="{00000000-0005-0000-0000-00008E0E0000}"/>
    <cellStyle name="Separador de milhares 3 2 3 6" xfId="2051" xr:uid="{00000000-0005-0000-0000-00008F0E0000}"/>
    <cellStyle name="Separador de milhares 3 2 3 6 2" xfId="4747" xr:uid="{00000000-0005-0000-0000-0000900E0000}"/>
    <cellStyle name="Separador de milhares 3 2 3 7" xfId="3151" xr:uid="{00000000-0005-0000-0000-0000910E0000}"/>
    <cellStyle name="Separador de milhares 3 2 4" xfId="171" xr:uid="{00000000-0005-0000-0000-0000920E0000}"/>
    <cellStyle name="Separador de milhares 3 2 4 2" xfId="1995" xr:uid="{00000000-0005-0000-0000-0000930E0000}"/>
    <cellStyle name="Separador de milhares 3 2 4 2 2" xfId="4691" xr:uid="{00000000-0005-0000-0000-0000940E0000}"/>
    <cellStyle name="Separador de milhares 3 2 4 3" xfId="3088" xr:uid="{00000000-0005-0000-0000-0000950E0000}"/>
    <cellStyle name="Separador de milhares 3 2 5" xfId="1976" xr:uid="{00000000-0005-0000-0000-0000960E0000}"/>
    <cellStyle name="Separador de milhares 3 2 5 2" xfId="4672" xr:uid="{00000000-0005-0000-0000-0000970E0000}"/>
    <cellStyle name="Separador de milhares 3 2 6" xfId="3068" xr:uid="{00000000-0005-0000-0000-0000980E0000}"/>
    <cellStyle name="Separador de milhares 3 2 7" xfId="5740" xr:uid="{00000000-0005-0000-0000-0000990E0000}"/>
    <cellStyle name="Separador de milhares 3 3" xfId="112" xr:uid="{00000000-0005-0000-0000-00009A0E0000}"/>
    <cellStyle name="Separador de milhares 3 3 2" xfId="403" xr:uid="{00000000-0005-0000-0000-00009B0E0000}"/>
    <cellStyle name="Separador de milhares 3 3 3" xfId="459" xr:uid="{00000000-0005-0000-0000-00009C0E0000}"/>
    <cellStyle name="Separador de milhares 3 3 3 2" xfId="524" xr:uid="{00000000-0005-0000-0000-00009D0E0000}"/>
    <cellStyle name="Separador de milhares 3 3 3 2 2" xfId="698" xr:uid="{00000000-0005-0000-0000-00009E0E0000}"/>
    <cellStyle name="Separador de milhares 3 3 3 2 2 2" xfId="1035" xr:uid="{00000000-0005-0000-0000-00009F0E0000}"/>
    <cellStyle name="Separador de milhares 3 3 3 2 2 2 2" xfId="1802" xr:uid="{00000000-0005-0000-0000-0000A00E0000}"/>
    <cellStyle name="Separador de milhares 3 3 3 2 2 2 2 2" xfId="2995" xr:uid="{00000000-0005-0000-0000-0000A10E0000}"/>
    <cellStyle name="Separador de milhares 3 3 3 2 2 2 2 2 2" xfId="5691" xr:uid="{00000000-0005-0000-0000-0000A20E0000}"/>
    <cellStyle name="Separador de milhares 3 3 3 2 2 2 2 3" xfId="4498" xr:uid="{00000000-0005-0000-0000-0000A30E0000}"/>
    <cellStyle name="Separador de milhares 3 3 3 2 2 2 3" xfId="2495" xr:uid="{00000000-0005-0000-0000-0000A40E0000}"/>
    <cellStyle name="Separador de milhares 3 3 3 2 2 2 3 2" xfId="5191" xr:uid="{00000000-0005-0000-0000-0000A50E0000}"/>
    <cellStyle name="Separador de milhares 3 3 3 2 2 2 4" xfId="3732" xr:uid="{00000000-0005-0000-0000-0000A60E0000}"/>
    <cellStyle name="Separador de milhares 3 3 3 2 2 3" xfId="1465" xr:uid="{00000000-0005-0000-0000-0000A70E0000}"/>
    <cellStyle name="Separador de milhares 3 3 3 2 2 3 2" xfId="2745" xr:uid="{00000000-0005-0000-0000-0000A80E0000}"/>
    <cellStyle name="Separador de milhares 3 3 3 2 2 3 2 2" xfId="5441" xr:uid="{00000000-0005-0000-0000-0000A90E0000}"/>
    <cellStyle name="Separador de milhares 3 3 3 2 2 3 3" xfId="4161" xr:uid="{00000000-0005-0000-0000-0000AA0E0000}"/>
    <cellStyle name="Separador de milhares 3 3 3 2 2 4" xfId="2245" xr:uid="{00000000-0005-0000-0000-0000AB0E0000}"/>
    <cellStyle name="Separador de milhares 3 3 3 2 2 4 2" xfId="4941" xr:uid="{00000000-0005-0000-0000-0000AC0E0000}"/>
    <cellStyle name="Separador de milhares 3 3 3 2 2 5" xfId="3395" xr:uid="{00000000-0005-0000-0000-0000AD0E0000}"/>
    <cellStyle name="Separador de milhares 3 3 3 2 3" xfId="862" xr:uid="{00000000-0005-0000-0000-0000AE0E0000}"/>
    <cellStyle name="Separador de milhares 3 3 3 2 3 2" xfId="1629" xr:uid="{00000000-0005-0000-0000-0000AF0E0000}"/>
    <cellStyle name="Separador de milhares 3 3 3 2 3 2 2" xfId="2870" xr:uid="{00000000-0005-0000-0000-0000B00E0000}"/>
    <cellStyle name="Separador de milhares 3 3 3 2 3 2 2 2" xfId="5566" xr:uid="{00000000-0005-0000-0000-0000B10E0000}"/>
    <cellStyle name="Separador de milhares 3 3 3 2 3 2 3" xfId="4325" xr:uid="{00000000-0005-0000-0000-0000B20E0000}"/>
    <cellStyle name="Separador de milhares 3 3 3 2 3 3" xfId="2370" xr:uid="{00000000-0005-0000-0000-0000B30E0000}"/>
    <cellStyle name="Separador de milhares 3 3 3 2 3 3 2" xfId="5066" xr:uid="{00000000-0005-0000-0000-0000B40E0000}"/>
    <cellStyle name="Separador de milhares 3 3 3 2 3 4" xfId="3559" xr:uid="{00000000-0005-0000-0000-0000B50E0000}"/>
    <cellStyle name="Separador de milhares 3 3 3 2 4" xfId="1292" xr:uid="{00000000-0005-0000-0000-0000B60E0000}"/>
    <cellStyle name="Separador de milhares 3 3 3 2 4 2" xfId="2620" xr:uid="{00000000-0005-0000-0000-0000B70E0000}"/>
    <cellStyle name="Separador de milhares 3 3 3 2 4 2 2" xfId="5316" xr:uid="{00000000-0005-0000-0000-0000B80E0000}"/>
    <cellStyle name="Separador de milhares 3 3 3 2 4 3" xfId="3988" xr:uid="{00000000-0005-0000-0000-0000B90E0000}"/>
    <cellStyle name="Separador de milhares 3 3 3 2 5" xfId="2120" xr:uid="{00000000-0005-0000-0000-0000BA0E0000}"/>
    <cellStyle name="Separador de milhares 3 3 3 2 5 2" xfId="4816" xr:uid="{00000000-0005-0000-0000-0000BB0E0000}"/>
    <cellStyle name="Separador de milhares 3 3 3 2 6" xfId="3222" xr:uid="{00000000-0005-0000-0000-0000BC0E0000}"/>
    <cellStyle name="Separador de milhares 3 3 3 3" xfId="635" xr:uid="{00000000-0005-0000-0000-0000BD0E0000}"/>
    <cellStyle name="Separador de milhares 3 3 3 3 2" xfId="972" xr:uid="{00000000-0005-0000-0000-0000BE0E0000}"/>
    <cellStyle name="Separador de milhares 3 3 3 3 2 2" xfId="1739" xr:uid="{00000000-0005-0000-0000-0000BF0E0000}"/>
    <cellStyle name="Separador de milhares 3 3 3 3 2 2 2" xfId="2933" xr:uid="{00000000-0005-0000-0000-0000C00E0000}"/>
    <cellStyle name="Separador de milhares 3 3 3 3 2 2 2 2" xfId="5629" xr:uid="{00000000-0005-0000-0000-0000C10E0000}"/>
    <cellStyle name="Separador de milhares 3 3 3 3 2 2 3" xfId="4435" xr:uid="{00000000-0005-0000-0000-0000C20E0000}"/>
    <cellStyle name="Separador de milhares 3 3 3 3 2 3" xfId="2433" xr:uid="{00000000-0005-0000-0000-0000C30E0000}"/>
    <cellStyle name="Separador de milhares 3 3 3 3 2 3 2" xfId="5129" xr:uid="{00000000-0005-0000-0000-0000C40E0000}"/>
    <cellStyle name="Separador de milhares 3 3 3 3 2 4" xfId="3669" xr:uid="{00000000-0005-0000-0000-0000C50E0000}"/>
    <cellStyle name="Separador de milhares 3 3 3 3 3" xfId="1402" xr:uid="{00000000-0005-0000-0000-0000C60E0000}"/>
    <cellStyle name="Separador de milhares 3 3 3 3 3 2" xfId="2683" xr:uid="{00000000-0005-0000-0000-0000C70E0000}"/>
    <cellStyle name="Separador de milhares 3 3 3 3 3 2 2" xfId="5379" xr:uid="{00000000-0005-0000-0000-0000C80E0000}"/>
    <cellStyle name="Separador de milhares 3 3 3 3 3 3" xfId="4098" xr:uid="{00000000-0005-0000-0000-0000C90E0000}"/>
    <cellStyle name="Separador de milhares 3 3 3 3 4" xfId="2183" xr:uid="{00000000-0005-0000-0000-0000CA0E0000}"/>
    <cellStyle name="Separador de milhares 3 3 3 3 4 2" xfId="4879" xr:uid="{00000000-0005-0000-0000-0000CB0E0000}"/>
    <cellStyle name="Separador de milhares 3 3 3 3 5" xfId="3332" xr:uid="{00000000-0005-0000-0000-0000CC0E0000}"/>
    <cellStyle name="Separador de milhares 3 3 3 4" xfId="798" xr:uid="{00000000-0005-0000-0000-0000CD0E0000}"/>
    <cellStyle name="Separador de milhares 3 3 3 4 2" xfId="1565" xr:uid="{00000000-0005-0000-0000-0000CE0E0000}"/>
    <cellStyle name="Separador de milhares 3 3 3 4 2 2" xfId="2808" xr:uid="{00000000-0005-0000-0000-0000CF0E0000}"/>
    <cellStyle name="Separador de milhares 3 3 3 4 2 2 2" xfId="5504" xr:uid="{00000000-0005-0000-0000-0000D00E0000}"/>
    <cellStyle name="Separador de milhares 3 3 3 4 2 3" xfId="4261" xr:uid="{00000000-0005-0000-0000-0000D10E0000}"/>
    <cellStyle name="Separador de milhares 3 3 3 4 3" xfId="2308" xr:uid="{00000000-0005-0000-0000-0000D20E0000}"/>
    <cellStyle name="Separador de milhares 3 3 3 4 3 2" xfId="5004" xr:uid="{00000000-0005-0000-0000-0000D30E0000}"/>
    <cellStyle name="Separador de milhares 3 3 3 4 4" xfId="3495" xr:uid="{00000000-0005-0000-0000-0000D40E0000}"/>
    <cellStyle name="Separador de milhares 3 3 3 5" xfId="1229" xr:uid="{00000000-0005-0000-0000-0000D50E0000}"/>
    <cellStyle name="Separador de milhares 3 3 3 5 2" xfId="2558" xr:uid="{00000000-0005-0000-0000-0000D60E0000}"/>
    <cellStyle name="Separador de milhares 3 3 3 5 2 2" xfId="5254" xr:uid="{00000000-0005-0000-0000-0000D70E0000}"/>
    <cellStyle name="Separador de milhares 3 3 3 5 3" xfId="3925" xr:uid="{00000000-0005-0000-0000-0000D80E0000}"/>
    <cellStyle name="Separador de milhares 3 3 3 6" xfId="2058" xr:uid="{00000000-0005-0000-0000-0000D90E0000}"/>
    <cellStyle name="Separador de milhares 3 3 3 6 2" xfId="4754" xr:uid="{00000000-0005-0000-0000-0000DA0E0000}"/>
    <cellStyle name="Separador de milhares 3 3 3 7" xfId="3158" xr:uid="{00000000-0005-0000-0000-0000DB0E0000}"/>
    <cellStyle name="Separador de milhares 3 3 4" xfId="248" xr:uid="{00000000-0005-0000-0000-0000DC0E0000}"/>
    <cellStyle name="Separador de milhares 3 3 4 2" xfId="2002" xr:uid="{00000000-0005-0000-0000-0000DD0E0000}"/>
    <cellStyle name="Separador de milhares 3 3 4 2 2" xfId="4698" xr:uid="{00000000-0005-0000-0000-0000DE0E0000}"/>
    <cellStyle name="Separador de milhares 3 3 4 3" xfId="3100" xr:uid="{00000000-0005-0000-0000-0000DF0E0000}"/>
    <cellStyle name="Separador de milhares 3 4" xfId="404" xr:uid="{00000000-0005-0000-0000-0000E00E0000}"/>
    <cellStyle name="Separador de milhares 3 5" xfId="405" xr:uid="{00000000-0005-0000-0000-0000E10E0000}"/>
    <cellStyle name="Separador de milhares 3 5 2" xfId="482" xr:uid="{00000000-0005-0000-0000-0000E20E0000}"/>
    <cellStyle name="Separador de milhares 3 5 2 2" xfId="547" xr:uid="{00000000-0005-0000-0000-0000E30E0000}"/>
    <cellStyle name="Separador de milhares 3 5 2 2 2" xfId="721" xr:uid="{00000000-0005-0000-0000-0000E40E0000}"/>
    <cellStyle name="Separador de milhares 3 5 2 2 2 2" xfId="1058" xr:uid="{00000000-0005-0000-0000-0000E50E0000}"/>
    <cellStyle name="Separador de milhares 3 5 2 2 2 2 2" xfId="1825" xr:uid="{00000000-0005-0000-0000-0000E60E0000}"/>
    <cellStyle name="Separador de milhares 3 5 2 2 2 2 2 2" xfId="3018" xr:uid="{00000000-0005-0000-0000-0000E70E0000}"/>
    <cellStyle name="Separador de milhares 3 5 2 2 2 2 2 2 2" xfId="5714" xr:uid="{00000000-0005-0000-0000-0000E80E0000}"/>
    <cellStyle name="Separador de milhares 3 5 2 2 2 2 2 3" xfId="4521" xr:uid="{00000000-0005-0000-0000-0000E90E0000}"/>
    <cellStyle name="Separador de milhares 3 5 2 2 2 2 3" xfId="2518" xr:uid="{00000000-0005-0000-0000-0000EA0E0000}"/>
    <cellStyle name="Separador de milhares 3 5 2 2 2 2 3 2" xfId="5214" xr:uid="{00000000-0005-0000-0000-0000EB0E0000}"/>
    <cellStyle name="Separador de milhares 3 5 2 2 2 2 4" xfId="3755" xr:uid="{00000000-0005-0000-0000-0000EC0E0000}"/>
    <cellStyle name="Separador de milhares 3 5 2 2 2 3" xfId="1488" xr:uid="{00000000-0005-0000-0000-0000ED0E0000}"/>
    <cellStyle name="Separador de milhares 3 5 2 2 2 3 2" xfId="2768" xr:uid="{00000000-0005-0000-0000-0000EE0E0000}"/>
    <cellStyle name="Separador de milhares 3 5 2 2 2 3 2 2" xfId="5464" xr:uid="{00000000-0005-0000-0000-0000EF0E0000}"/>
    <cellStyle name="Separador de milhares 3 5 2 2 2 3 3" xfId="4184" xr:uid="{00000000-0005-0000-0000-0000F00E0000}"/>
    <cellStyle name="Separador de milhares 3 5 2 2 2 4" xfId="2268" xr:uid="{00000000-0005-0000-0000-0000F10E0000}"/>
    <cellStyle name="Separador de milhares 3 5 2 2 2 4 2" xfId="4964" xr:uid="{00000000-0005-0000-0000-0000F20E0000}"/>
    <cellStyle name="Separador de milhares 3 5 2 2 2 5" xfId="3418" xr:uid="{00000000-0005-0000-0000-0000F30E0000}"/>
    <cellStyle name="Separador de milhares 3 5 2 2 3" xfId="885" xr:uid="{00000000-0005-0000-0000-0000F40E0000}"/>
    <cellStyle name="Separador de milhares 3 5 2 2 3 2" xfId="1652" xr:uid="{00000000-0005-0000-0000-0000F50E0000}"/>
    <cellStyle name="Separador de milhares 3 5 2 2 3 2 2" xfId="2893" xr:uid="{00000000-0005-0000-0000-0000F60E0000}"/>
    <cellStyle name="Separador de milhares 3 5 2 2 3 2 2 2" xfId="5589" xr:uid="{00000000-0005-0000-0000-0000F70E0000}"/>
    <cellStyle name="Separador de milhares 3 5 2 2 3 2 3" xfId="4348" xr:uid="{00000000-0005-0000-0000-0000F80E0000}"/>
    <cellStyle name="Separador de milhares 3 5 2 2 3 3" xfId="2393" xr:uid="{00000000-0005-0000-0000-0000F90E0000}"/>
    <cellStyle name="Separador de milhares 3 5 2 2 3 3 2" xfId="5089" xr:uid="{00000000-0005-0000-0000-0000FA0E0000}"/>
    <cellStyle name="Separador de milhares 3 5 2 2 3 4" xfId="3582" xr:uid="{00000000-0005-0000-0000-0000FB0E0000}"/>
    <cellStyle name="Separador de milhares 3 5 2 2 4" xfId="1315" xr:uid="{00000000-0005-0000-0000-0000FC0E0000}"/>
    <cellStyle name="Separador de milhares 3 5 2 2 4 2" xfId="2643" xr:uid="{00000000-0005-0000-0000-0000FD0E0000}"/>
    <cellStyle name="Separador de milhares 3 5 2 2 4 2 2" xfId="5339" xr:uid="{00000000-0005-0000-0000-0000FE0E0000}"/>
    <cellStyle name="Separador de milhares 3 5 2 2 4 3" xfId="4011" xr:uid="{00000000-0005-0000-0000-0000FF0E0000}"/>
    <cellStyle name="Separador de milhares 3 5 2 2 5" xfId="2143" xr:uid="{00000000-0005-0000-0000-0000000F0000}"/>
    <cellStyle name="Separador de milhares 3 5 2 2 5 2" xfId="4839" xr:uid="{00000000-0005-0000-0000-0000010F0000}"/>
    <cellStyle name="Separador de milhares 3 5 2 2 6" xfId="3245" xr:uid="{00000000-0005-0000-0000-0000020F0000}"/>
    <cellStyle name="Separador de milhares 3 5 2 3" xfId="658" xr:uid="{00000000-0005-0000-0000-0000030F0000}"/>
    <cellStyle name="Separador de milhares 3 5 2 3 2" xfId="995" xr:uid="{00000000-0005-0000-0000-0000040F0000}"/>
    <cellStyle name="Separador de milhares 3 5 2 3 2 2" xfId="1762" xr:uid="{00000000-0005-0000-0000-0000050F0000}"/>
    <cellStyle name="Separador de milhares 3 5 2 3 2 2 2" xfId="2956" xr:uid="{00000000-0005-0000-0000-0000060F0000}"/>
    <cellStyle name="Separador de milhares 3 5 2 3 2 2 2 2" xfId="5652" xr:uid="{00000000-0005-0000-0000-0000070F0000}"/>
    <cellStyle name="Separador de milhares 3 5 2 3 2 2 3" xfId="4458" xr:uid="{00000000-0005-0000-0000-0000080F0000}"/>
    <cellStyle name="Separador de milhares 3 5 2 3 2 3" xfId="2456" xr:uid="{00000000-0005-0000-0000-0000090F0000}"/>
    <cellStyle name="Separador de milhares 3 5 2 3 2 3 2" xfId="5152" xr:uid="{00000000-0005-0000-0000-00000A0F0000}"/>
    <cellStyle name="Separador de milhares 3 5 2 3 2 4" xfId="3692" xr:uid="{00000000-0005-0000-0000-00000B0F0000}"/>
    <cellStyle name="Separador de milhares 3 5 2 3 3" xfId="1425" xr:uid="{00000000-0005-0000-0000-00000C0F0000}"/>
    <cellStyle name="Separador de milhares 3 5 2 3 3 2" xfId="2706" xr:uid="{00000000-0005-0000-0000-00000D0F0000}"/>
    <cellStyle name="Separador de milhares 3 5 2 3 3 2 2" xfId="5402" xr:uid="{00000000-0005-0000-0000-00000E0F0000}"/>
    <cellStyle name="Separador de milhares 3 5 2 3 3 3" xfId="4121" xr:uid="{00000000-0005-0000-0000-00000F0F0000}"/>
    <cellStyle name="Separador de milhares 3 5 2 3 4" xfId="2206" xr:uid="{00000000-0005-0000-0000-0000100F0000}"/>
    <cellStyle name="Separador de milhares 3 5 2 3 4 2" xfId="4902" xr:uid="{00000000-0005-0000-0000-0000110F0000}"/>
    <cellStyle name="Separador de milhares 3 5 2 3 5" xfId="3355" xr:uid="{00000000-0005-0000-0000-0000120F0000}"/>
    <cellStyle name="Separador de milhares 3 5 2 4" xfId="821" xr:uid="{00000000-0005-0000-0000-0000130F0000}"/>
    <cellStyle name="Separador de milhares 3 5 2 4 2" xfId="1588" xr:uid="{00000000-0005-0000-0000-0000140F0000}"/>
    <cellStyle name="Separador de milhares 3 5 2 4 2 2" xfId="2831" xr:uid="{00000000-0005-0000-0000-0000150F0000}"/>
    <cellStyle name="Separador de milhares 3 5 2 4 2 2 2" xfId="5527" xr:uid="{00000000-0005-0000-0000-0000160F0000}"/>
    <cellStyle name="Separador de milhares 3 5 2 4 2 3" xfId="4284" xr:uid="{00000000-0005-0000-0000-0000170F0000}"/>
    <cellStyle name="Separador de milhares 3 5 2 4 3" xfId="2331" xr:uid="{00000000-0005-0000-0000-0000180F0000}"/>
    <cellStyle name="Separador de milhares 3 5 2 4 3 2" xfId="5027" xr:uid="{00000000-0005-0000-0000-0000190F0000}"/>
    <cellStyle name="Separador de milhares 3 5 2 4 4" xfId="3518" xr:uid="{00000000-0005-0000-0000-00001A0F0000}"/>
    <cellStyle name="Separador de milhares 3 5 2 5" xfId="1252" xr:uid="{00000000-0005-0000-0000-00001B0F0000}"/>
    <cellStyle name="Separador de milhares 3 5 2 5 2" xfId="2581" xr:uid="{00000000-0005-0000-0000-00001C0F0000}"/>
    <cellStyle name="Separador de milhares 3 5 2 5 2 2" xfId="5277" xr:uid="{00000000-0005-0000-0000-00001D0F0000}"/>
    <cellStyle name="Separador de milhares 3 5 2 5 3" xfId="3948" xr:uid="{00000000-0005-0000-0000-00001E0F0000}"/>
    <cellStyle name="Separador de milhares 3 5 2 6" xfId="2081" xr:uid="{00000000-0005-0000-0000-00001F0F0000}"/>
    <cellStyle name="Separador de milhares 3 5 2 6 2" xfId="4777" xr:uid="{00000000-0005-0000-0000-0000200F0000}"/>
    <cellStyle name="Separador de milhares 3 5 2 7" xfId="3181" xr:uid="{00000000-0005-0000-0000-0000210F0000}"/>
    <cellStyle name="Separador de milhares 3 5 3" xfId="2026" xr:uid="{00000000-0005-0000-0000-0000220F0000}"/>
    <cellStyle name="Separador de milhares 3 5 3 2" xfId="4722" xr:uid="{00000000-0005-0000-0000-0000230F0000}"/>
    <cellStyle name="Separador de milhares 3 5 4" xfId="3125" xr:uid="{00000000-0005-0000-0000-0000240F0000}"/>
    <cellStyle name="Separador de milhares 3 6" xfId="437" xr:uid="{00000000-0005-0000-0000-0000250F0000}"/>
    <cellStyle name="Separador de milhares 3 7" xfId="444" xr:uid="{00000000-0005-0000-0000-0000260F0000}"/>
    <cellStyle name="Separador de milhares 3 7 2" xfId="508" xr:uid="{00000000-0005-0000-0000-0000270F0000}"/>
    <cellStyle name="Separador de milhares 3 7 2 2" xfId="682" xr:uid="{00000000-0005-0000-0000-0000280F0000}"/>
    <cellStyle name="Separador de milhares 3 7 2 2 2" xfId="1019" xr:uid="{00000000-0005-0000-0000-0000290F0000}"/>
    <cellStyle name="Separador de milhares 3 7 2 2 2 2" xfId="1786" xr:uid="{00000000-0005-0000-0000-00002A0F0000}"/>
    <cellStyle name="Separador de milhares 3 7 2 2 2 2 2" xfId="2979" xr:uid="{00000000-0005-0000-0000-00002B0F0000}"/>
    <cellStyle name="Separador de milhares 3 7 2 2 2 2 2 2" xfId="5675" xr:uid="{00000000-0005-0000-0000-00002C0F0000}"/>
    <cellStyle name="Separador de milhares 3 7 2 2 2 2 3" xfId="4482" xr:uid="{00000000-0005-0000-0000-00002D0F0000}"/>
    <cellStyle name="Separador de milhares 3 7 2 2 2 3" xfId="2479" xr:uid="{00000000-0005-0000-0000-00002E0F0000}"/>
    <cellStyle name="Separador de milhares 3 7 2 2 2 3 2" xfId="5175" xr:uid="{00000000-0005-0000-0000-00002F0F0000}"/>
    <cellStyle name="Separador de milhares 3 7 2 2 2 4" xfId="3716" xr:uid="{00000000-0005-0000-0000-0000300F0000}"/>
    <cellStyle name="Separador de milhares 3 7 2 2 3" xfId="1449" xr:uid="{00000000-0005-0000-0000-0000310F0000}"/>
    <cellStyle name="Separador de milhares 3 7 2 2 3 2" xfId="2729" xr:uid="{00000000-0005-0000-0000-0000320F0000}"/>
    <cellStyle name="Separador de milhares 3 7 2 2 3 2 2" xfId="5425" xr:uid="{00000000-0005-0000-0000-0000330F0000}"/>
    <cellStyle name="Separador de milhares 3 7 2 2 3 3" xfId="4145" xr:uid="{00000000-0005-0000-0000-0000340F0000}"/>
    <cellStyle name="Separador de milhares 3 7 2 2 4" xfId="2229" xr:uid="{00000000-0005-0000-0000-0000350F0000}"/>
    <cellStyle name="Separador de milhares 3 7 2 2 4 2" xfId="4925" xr:uid="{00000000-0005-0000-0000-0000360F0000}"/>
    <cellStyle name="Separador de milhares 3 7 2 2 5" xfId="3379" xr:uid="{00000000-0005-0000-0000-0000370F0000}"/>
    <cellStyle name="Separador de milhares 3 7 2 3" xfId="846" xr:uid="{00000000-0005-0000-0000-0000380F0000}"/>
    <cellStyle name="Separador de milhares 3 7 2 3 2" xfId="1613" xr:uid="{00000000-0005-0000-0000-0000390F0000}"/>
    <cellStyle name="Separador de milhares 3 7 2 3 2 2" xfId="2854" xr:uid="{00000000-0005-0000-0000-00003A0F0000}"/>
    <cellStyle name="Separador de milhares 3 7 2 3 2 2 2" xfId="5550" xr:uid="{00000000-0005-0000-0000-00003B0F0000}"/>
    <cellStyle name="Separador de milhares 3 7 2 3 2 3" xfId="4309" xr:uid="{00000000-0005-0000-0000-00003C0F0000}"/>
    <cellStyle name="Separador de milhares 3 7 2 3 3" xfId="2354" xr:uid="{00000000-0005-0000-0000-00003D0F0000}"/>
    <cellStyle name="Separador de milhares 3 7 2 3 3 2" xfId="5050" xr:uid="{00000000-0005-0000-0000-00003E0F0000}"/>
    <cellStyle name="Separador de milhares 3 7 2 3 4" xfId="3543" xr:uid="{00000000-0005-0000-0000-00003F0F0000}"/>
    <cellStyle name="Separador de milhares 3 7 2 4" xfId="1276" xr:uid="{00000000-0005-0000-0000-0000400F0000}"/>
    <cellStyle name="Separador de milhares 3 7 2 4 2" xfId="2604" xr:uid="{00000000-0005-0000-0000-0000410F0000}"/>
    <cellStyle name="Separador de milhares 3 7 2 4 2 2" xfId="5300" xr:uid="{00000000-0005-0000-0000-0000420F0000}"/>
    <cellStyle name="Separador de milhares 3 7 2 4 3" xfId="3972" xr:uid="{00000000-0005-0000-0000-0000430F0000}"/>
    <cellStyle name="Separador de milhares 3 7 2 5" xfId="2104" xr:uid="{00000000-0005-0000-0000-0000440F0000}"/>
    <cellStyle name="Separador de milhares 3 7 2 5 2" xfId="4800" xr:uid="{00000000-0005-0000-0000-0000450F0000}"/>
    <cellStyle name="Separador de milhares 3 7 2 6" xfId="3206" xr:uid="{00000000-0005-0000-0000-0000460F0000}"/>
    <cellStyle name="Separador de milhares 3 7 3" xfId="619" xr:uid="{00000000-0005-0000-0000-0000470F0000}"/>
    <cellStyle name="Separador de milhares 3 7 3 2" xfId="956" xr:uid="{00000000-0005-0000-0000-0000480F0000}"/>
    <cellStyle name="Separador de milhares 3 7 3 2 2" xfId="1723" xr:uid="{00000000-0005-0000-0000-0000490F0000}"/>
    <cellStyle name="Separador de milhares 3 7 3 2 2 2" xfId="2917" xr:uid="{00000000-0005-0000-0000-00004A0F0000}"/>
    <cellStyle name="Separador de milhares 3 7 3 2 2 2 2" xfId="5613" xr:uid="{00000000-0005-0000-0000-00004B0F0000}"/>
    <cellStyle name="Separador de milhares 3 7 3 2 2 3" xfId="4419" xr:uid="{00000000-0005-0000-0000-00004C0F0000}"/>
    <cellStyle name="Separador de milhares 3 7 3 2 3" xfId="2417" xr:uid="{00000000-0005-0000-0000-00004D0F0000}"/>
    <cellStyle name="Separador de milhares 3 7 3 2 3 2" xfId="5113" xr:uid="{00000000-0005-0000-0000-00004E0F0000}"/>
    <cellStyle name="Separador de milhares 3 7 3 2 4" xfId="3653" xr:uid="{00000000-0005-0000-0000-00004F0F0000}"/>
    <cellStyle name="Separador de milhares 3 7 3 3" xfId="1386" xr:uid="{00000000-0005-0000-0000-0000500F0000}"/>
    <cellStyle name="Separador de milhares 3 7 3 3 2" xfId="2667" xr:uid="{00000000-0005-0000-0000-0000510F0000}"/>
    <cellStyle name="Separador de milhares 3 7 3 3 2 2" xfId="5363" xr:uid="{00000000-0005-0000-0000-0000520F0000}"/>
    <cellStyle name="Separador de milhares 3 7 3 3 3" xfId="4082" xr:uid="{00000000-0005-0000-0000-0000530F0000}"/>
    <cellStyle name="Separador de milhares 3 7 3 4" xfId="2167" xr:uid="{00000000-0005-0000-0000-0000540F0000}"/>
    <cellStyle name="Separador de milhares 3 7 3 4 2" xfId="4863" xr:uid="{00000000-0005-0000-0000-0000550F0000}"/>
    <cellStyle name="Separador de milhares 3 7 3 5" xfId="3316" xr:uid="{00000000-0005-0000-0000-0000560F0000}"/>
    <cellStyle name="Separador de milhares 3 7 4" xfId="782" xr:uid="{00000000-0005-0000-0000-0000570F0000}"/>
    <cellStyle name="Separador de milhares 3 7 4 2" xfId="1549" xr:uid="{00000000-0005-0000-0000-0000580F0000}"/>
    <cellStyle name="Separador de milhares 3 7 4 2 2" xfId="2792" xr:uid="{00000000-0005-0000-0000-0000590F0000}"/>
    <cellStyle name="Separador de milhares 3 7 4 2 2 2" xfId="5488" xr:uid="{00000000-0005-0000-0000-00005A0F0000}"/>
    <cellStyle name="Separador de milhares 3 7 4 2 3" xfId="4245" xr:uid="{00000000-0005-0000-0000-00005B0F0000}"/>
    <cellStyle name="Separador de milhares 3 7 4 3" xfId="2292" xr:uid="{00000000-0005-0000-0000-00005C0F0000}"/>
    <cellStyle name="Separador de milhares 3 7 4 3 2" xfId="4988" xr:uid="{00000000-0005-0000-0000-00005D0F0000}"/>
    <cellStyle name="Separador de milhares 3 7 4 4" xfId="3479" xr:uid="{00000000-0005-0000-0000-00005E0F0000}"/>
    <cellStyle name="Separador de milhares 3 7 5" xfId="1213" xr:uid="{00000000-0005-0000-0000-00005F0F0000}"/>
    <cellStyle name="Separador de milhares 3 7 5 2" xfId="2542" xr:uid="{00000000-0005-0000-0000-0000600F0000}"/>
    <cellStyle name="Separador de milhares 3 7 5 2 2" xfId="5238" xr:uid="{00000000-0005-0000-0000-0000610F0000}"/>
    <cellStyle name="Separador de milhares 3 7 5 3" xfId="3909" xr:uid="{00000000-0005-0000-0000-0000620F0000}"/>
    <cellStyle name="Separador de milhares 3 7 6" xfId="2043" xr:uid="{00000000-0005-0000-0000-0000630F0000}"/>
    <cellStyle name="Separador de milhares 3 7 6 2" xfId="4739" xr:uid="{00000000-0005-0000-0000-0000640F0000}"/>
    <cellStyle name="Separador de milhares 3 7 7" xfId="3143" xr:uid="{00000000-0005-0000-0000-0000650F0000}"/>
    <cellStyle name="Separador de milhares 3 8" xfId="153" xr:uid="{00000000-0005-0000-0000-0000660F0000}"/>
    <cellStyle name="Separador de milhares 3 8 2" xfId="1989" xr:uid="{00000000-0005-0000-0000-0000670F0000}"/>
    <cellStyle name="Separador de milhares 3 8 2 2" xfId="4685" xr:uid="{00000000-0005-0000-0000-0000680F0000}"/>
    <cellStyle name="Separador de milhares 3 8 3" xfId="3082" xr:uid="{00000000-0005-0000-0000-0000690F0000}"/>
    <cellStyle name="Separador de milhares 3 9" xfId="1970" xr:uid="{00000000-0005-0000-0000-00006A0F0000}"/>
    <cellStyle name="Separador de milhares 3 9 2" xfId="4666" xr:uid="{00000000-0005-0000-0000-00006B0F0000}"/>
    <cellStyle name="Separador de milhares 3_14ª MED. TY" xfId="406" xr:uid="{00000000-0005-0000-0000-00006C0F0000}"/>
    <cellStyle name="Separador de milhares 30" xfId="407" xr:uid="{00000000-0005-0000-0000-00006D0F0000}"/>
    <cellStyle name="Separador de milhares 31" xfId="408" xr:uid="{00000000-0005-0000-0000-00006E0F0000}"/>
    <cellStyle name="Separador de milhares 32" xfId="409" xr:uid="{00000000-0005-0000-0000-00006F0F0000}"/>
    <cellStyle name="Separador de milhares 33" xfId="410" xr:uid="{00000000-0005-0000-0000-0000700F0000}"/>
    <cellStyle name="Separador de milhares 34" xfId="411" xr:uid="{00000000-0005-0000-0000-0000710F0000}"/>
    <cellStyle name="Separador de milhares 35" xfId="412" xr:uid="{00000000-0005-0000-0000-0000720F0000}"/>
    <cellStyle name="Separador de milhares 36" xfId="413" xr:uid="{00000000-0005-0000-0000-0000730F0000}"/>
    <cellStyle name="Separador de milhares 37" xfId="414" xr:uid="{00000000-0005-0000-0000-0000740F0000}"/>
    <cellStyle name="Separador de milhares 4" xfId="96" xr:uid="{00000000-0005-0000-0000-0000750F0000}"/>
    <cellStyle name="Separador de milhares 4 2" xfId="172" xr:uid="{00000000-0005-0000-0000-0000760F0000}"/>
    <cellStyle name="Separador de milhares 4 2 2" xfId="453" xr:uid="{00000000-0005-0000-0000-0000770F0000}"/>
    <cellStyle name="Separador de milhares 4 2 2 2" xfId="518" xr:uid="{00000000-0005-0000-0000-0000780F0000}"/>
    <cellStyle name="Separador de milhares 4 2 2 2 2" xfId="692" xr:uid="{00000000-0005-0000-0000-0000790F0000}"/>
    <cellStyle name="Separador de milhares 4 2 2 2 2 2" xfId="1029" xr:uid="{00000000-0005-0000-0000-00007A0F0000}"/>
    <cellStyle name="Separador de milhares 4 2 2 2 2 2 2" xfId="1796" xr:uid="{00000000-0005-0000-0000-00007B0F0000}"/>
    <cellStyle name="Separador de milhares 4 2 2 2 2 2 2 2" xfId="2989" xr:uid="{00000000-0005-0000-0000-00007C0F0000}"/>
    <cellStyle name="Separador de milhares 4 2 2 2 2 2 2 2 2" xfId="5685" xr:uid="{00000000-0005-0000-0000-00007D0F0000}"/>
    <cellStyle name="Separador de milhares 4 2 2 2 2 2 2 3" xfId="4492" xr:uid="{00000000-0005-0000-0000-00007E0F0000}"/>
    <cellStyle name="Separador de milhares 4 2 2 2 2 2 3" xfId="2489" xr:uid="{00000000-0005-0000-0000-00007F0F0000}"/>
    <cellStyle name="Separador de milhares 4 2 2 2 2 2 3 2" xfId="5185" xr:uid="{00000000-0005-0000-0000-0000800F0000}"/>
    <cellStyle name="Separador de milhares 4 2 2 2 2 2 4" xfId="3726" xr:uid="{00000000-0005-0000-0000-0000810F0000}"/>
    <cellStyle name="Separador de milhares 4 2 2 2 2 3" xfId="1459" xr:uid="{00000000-0005-0000-0000-0000820F0000}"/>
    <cellStyle name="Separador de milhares 4 2 2 2 2 3 2" xfId="2739" xr:uid="{00000000-0005-0000-0000-0000830F0000}"/>
    <cellStyle name="Separador de milhares 4 2 2 2 2 3 2 2" xfId="5435" xr:uid="{00000000-0005-0000-0000-0000840F0000}"/>
    <cellStyle name="Separador de milhares 4 2 2 2 2 3 3" xfId="4155" xr:uid="{00000000-0005-0000-0000-0000850F0000}"/>
    <cellStyle name="Separador de milhares 4 2 2 2 2 4" xfId="2239" xr:uid="{00000000-0005-0000-0000-0000860F0000}"/>
    <cellStyle name="Separador de milhares 4 2 2 2 2 4 2" xfId="4935" xr:uid="{00000000-0005-0000-0000-0000870F0000}"/>
    <cellStyle name="Separador de milhares 4 2 2 2 2 5" xfId="3389" xr:uid="{00000000-0005-0000-0000-0000880F0000}"/>
    <cellStyle name="Separador de milhares 4 2 2 2 3" xfId="856" xr:uid="{00000000-0005-0000-0000-0000890F0000}"/>
    <cellStyle name="Separador de milhares 4 2 2 2 3 2" xfId="1623" xr:uid="{00000000-0005-0000-0000-00008A0F0000}"/>
    <cellStyle name="Separador de milhares 4 2 2 2 3 2 2" xfId="2864" xr:uid="{00000000-0005-0000-0000-00008B0F0000}"/>
    <cellStyle name="Separador de milhares 4 2 2 2 3 2 2 2" xfId="5560" xr:uid="{00000000-0005-0000-0000-00008C0F0000}"/>
    <cellStyle name="Separador de milhares 4 2 2 2 3 2 3" xfId="4319" xr:uid="{00000000-0005-0000-0000-00008D0F0000}"/>
    <cellStyle name="Separador de milhares 4 2 2 2 3 3" xfId="2364" xr:uid="{00000000-0005-0000-0000-00008E0F0000}"/>
    <cellStyle name="Separador de milhares 4 2 2 2 3 3 2" xfId="5060" xr:uid="{00000000-0005-0000-0000-00008F0F0000}"/>
    <cellStyle name="Separador de milhares 4 2 2 2 3 4" xfId="3553" xr:uid="{00000000-0005-0000-0000-0000900F0000}"/>
    <cellStyle name="Separador de milhares 4 2 2 2 4" xfId="1286" xr:uid="{00000000-0005-0000-0000-0000910F0000}"/>
    <cellStyle name="Separador de milhares 4 2 2 2 4 2" xfId="2614" xr:uid="{00000000-0005-0000-0000-0000920F0000}"/>
    <cellStyle name="Separador de milhares 4 2 2 2 4 2 2" xfId="5310" xr:uid="{00000000-0005-0000-0000-0000930F0000}"/>
    <cellStyle name="Separador de milhares 4 2 2 2 4 3" xfId="3982" xr:uid="{00000000-0005-0000-0000-0000940F0000}"/>
    <cellStyle name="Separador de milhares 4 2 2 2 5" xfId="2114" xr:uid="{00000000-0005-0000-0000-0000950F0000}"/>
    <cellStyle name="Separador de milhares 4 2 2 2 5 2" xfId="4810" xr:uid="{00000000-0005-0000-0000-0000960F0000}"/>
    <cellStyle name="Separador de milhares 4 2 2 2 6" xfId="3216" xr:uid="{00000000-0005-0000-0000-0000970F0000}"/>
    <cellStyle name="Separador de milhares 4 2 2 3" xfId="629" xr:uid="{00000000-0005-0000-0000-0000980F0000}"/>
    <cellStyle name="Separador de milhares 4 2 2 3 2" xfId="966" xr:uid="{00000000-0005-0000-0000-0000990F0000}"/>
    <cellStyle name="Separador de milhares 4 2 2 3 2 2" xfId="1733" xr:uid="{00000000-0005-0000-0000-00009A0F0000}"/>
    <cellStyle name="Separador de milhares 4 2 2 3 2 2 2" xfId="2927" xr:uid="{00000000-0005-0000-0000-00009B0F0000}"/>
    <cellStyle name="Separador de milhares 4 2 2 3 2 2 2 2" xfId="5623" xr:uid="{00000000-0005-0000-0000-00009C0F0000}"/>
    <cellStyle name="Separador de milhares 4 2 2 3 2 2 3" xfId="4429" xr:uid="{00000000-0005-0000-0000-00009D0F0000}"/>
    <cellStyle name="Separador de milhares 4 2 2 3 2 3" xfId="2427" xr:uid="{00000000-0005-0000-0000-00009E0F0000}"/>
    <cellStyle name="Separador de milhares 4 2 2 3 2 3 2" xfId="5123" xr:uid="{00000000-0005-0000-0000-00009F0F0000}"/>
    <cellStyle name="Separador de milhares 4 2 2 3 2 4" xfId="3663" xr:uid="{00000000-0005-0000-0000-0000A00F0000}"/>
    <cellStyle name="Separador de milhares 4 2 2 3 3" xfId="1396" xr:uid="{00000000-0005-0000-0000-0000A10F0000}"/>
    <cellStyle name="Separador de milhares 4 2 2 3 3 2" xfId="2677" xr:uid="{00000000-0005-0000-0000-0000A20F0000}"/>
    <cellStyle name="Separador de milhares 4 2 2 3 3 2 2" xfId="5373" xr:uid="{00000000-0005-0000-0000-0000A30F0000}"/>
    <cellStyle name="Separador de milhares 4 2 2 3 3 3" xfId="4092" xr:uid="{00000000-0005-0000-0000-0000A40F0000}"/>
    <cellStyle name="Separador de milhares 4 2 2 3 4" xfId="2177" xr:uid="{00000000-0005-0000-0000-0000A50F0000}"/>
    <cellStyle name="Separador de milhares 4 2 2 3 4 2" xfId="4873" xr:uid="{00000000-0005-0000-0000-0000A60F0000}"/>
    <cellStyle name="Separador de milhares 4 2 2 3 5" xfId="3326" xr:uid="{00000000-0005-0000-0000-0000A70F0000}"/>
    <cellStyle name="Separador de milhares 4 2 2 4" xfId="792" xr:uid="{00000000-0005-0000-0000-0000A80F0000}"/>
    <cellStyle name="Separador de milhares 4 2 2 4 2" xfId="1559" xr:uid="{00000000-0005-0000-0000-0000A90F0000}"/>
    <cellStyle name="Separador de milhares 4 2 2 4 2 2" xfId="2802" xr:uid="{00000000-0005-0000-0000-0000AA0F0000}"/>
    <cellStyle name="Separador de milhares 4 2 2 4 2 2 2" xfId="5498" xr:uid="{00000000-0005-0000-0000-0000AB0F0000}"/>
    <cellStyle name="Separador de milhares 4 2 2 4 2 3" xfId="4255" xr:uid="{00000000-0005-0000-0000-0000AC0F0000}"/>
    <cellStyle name="Separador de milhares 4 2 2 4 3" xfId="2302" xr:uid="{00000000-0005-0000-0000-0000AD0F0000}"/>
    <cellStyle name="Separador de milhares 4 2 2 4 3 2" xfId="4998" xr:uid="{00000000-0005-0000-0000-0000AE0F0000}"/>
    <cellStyle name="Separador de milhares 4 2 2 4 4" xfId="3489" xr:uid="{00000000-0005-0000-0000-0000AF0F0000}"/>
    <cellStyle name="Separador de milhares 4 2 2 5" xfId="1223" xr:uid="{00000000-0005-0000-0000-0000B00F0000}"/>
    <cellStyle name="Separador de milhares 4 2 2 5 2" xfId="2552" xr:uid="{00000000-0005-0000-0000-0000B10F0000}"/>
    <cellStyle name="Separador de milhares 4 2 2 5 2 2" xfId="5248" xr:uid="{00000000-0005-0000-0000-0000B20F0000}"/>
    <cellStyle name="Separador de milhares 4 2 2 5 3" xfId="3919" xr:uid="{00000000-0005-0000-0000-0000B30F0000}"/>
    <cellStyle name="Separador de milhares 4 2 2 6" xfId="2052" xr:uid="{00000000-0005-0000-0000-0000B40F0000}"/>
    <cellStyle name="Separador de milhares 4 2 2 6 2" xfId="4748" xr:uid="{00000000-0005-0000-0000-0000B50F0000}"/>
    <cellStyle name="Separador de milhares 4 2 2 7" xfId="3152" xr:uid="{00000000-0005-0000-0000-0000B60F0000}"/>
    <cellStyle name="Separador de milhares 4 2 3" xfId="1996" xr:uid="{00000000-0005-0000-0000-0000B70F0000}"/>
    <cellStyle name="Separador de milhares 4 2 3 2" xfId="4692" xr:uid="{00000000-0005-0000-0000-0000B80F0000}"/>
    <cellStyle name="Separador de milhares 4 2 4" xfId="3089" xr:uid="{00000000-0005-0000-0000-0000B90F0000}"/>
    <cellStyle name="Separador de milhares 4 3" xfId="440" xr:uid="{00000000-0005-0000-0000-0000BA0F0000}"/>
    <cellStyle name="Separador de milhares 4 3 2" xfId="504" xr:uid="{00000000-0005-0000-0000-0000BB0F0000}"/>
    <cellStyle name="Separador de milhares 4 3 2 2" xfId="679" xr:uid="{00000000-0005-0000-0000-0000BC0F0000}"/>
    <cellStyle name="Separador de milhares 4 3 2 2 2" xfId="1016" xr:uid="{00000000-0005-0000-0000-0000BD0F0000}"/>
    <cellStyle name="Separador de milhares 4 3 2 2 2 2" xfId="1783" xr:uid="{00000000-0005-0000-0000-0000BE0F0000}"/>
    <cellStyle name="Separador de milhares 4 3 2 2 2 2 2" xfId="2976" xr:uid="{00000000-0005-0000-0000-0000BF0F0000}"/>
    <cellStyle name="Separador de milhares 4 3 2 2 2 2 2 2" xfId="5672" xr:uid="{00000000-0005-0000-0000-0000C00F0000}"/>
    <cellStyle name="Separador de milhares 4 3 2 2 2 2 3" xfId="4479" xr:uid="{00000000-0005-0000-0000-0000C10F0000}"/>
    <cellStyle name="Separador de milhares 4 3 2 2 2 3" xfId="2476" xr:uid="{00000000-0005-0000-0000-0000C20F0000}"/>
    <cellStyle name="Separador de milhares 4 3 2 2 2 3 2" xfId="5172" xr:uid="{00000000-0005-0000-0000-0000C30F0000}"/>
    <cellStyle name="Separador de milhares 4 3 2 2 2 4" xfId="3713" xr:uid="{00000000-0005-0000-0000-0000C40F0000}"/>
    <cellStyle name="Separador de milhares 4 3 2 2 3" xfId="1446" xr:uid="{00000000-0005-0000-0000-0000C50F0000}"/>
    <cellStyle name="Separador de milhares 4 3 2 2 3 2" xfId="2726" xr:uid="{00000000-0005-0000-0000-0000C60F0000}"/>
    <cellStyle name="Separador de milhares 4 3 2 2 3 2 2" xfId="5422" xr:uid="{00000000-0005-0000-0000-0000C70F0000}"/>
    <cellStyle name="Separador de milhares 4 3 2 2 3 3" xfId="4142" xr:uid="{00000000-0005-0000-0000-0000C80F0000}"/>
    <cellStyle name="Separador de milhares 4 3 2 2 4" xfId="2226" xr:uid="{00000000-0005-0000-0000-0000C90F0000}"/>
    <cellStyle name="Separador de milhares 4 3 2 2 4 2" xfId="4922" xr:uid="{00000000-0005-0000-0000-0000CA0F0000}"/>
    <cellStyle name="Separador de milhares 4 3 2 2 5" xfId="3376" xr:uid="{00000000-0005-0000-0000-0000CB0F0000}"/>
    <cellStyle name="Separador de milhares 4 3 2 3" xfId="842" xr:uid="{00000000-0005-0000-0000-0000CC0F0000}"/>
    <cellStyle name="Separador de milhares 4 3 2 3 2" xfId="1609" xr:uid="{00000000-0005-0000-0000-0000CD0F0000}"/>
    <cellStyle name="Separador de milhares 4 3 2 3 2 2" xfId="2851" xr:uid="{00000000-0005-0000-0000-0000CE0F0000}"/>
    <cellStyle name="Separador de milhares 4 3 2 3 2 2 2" xfId="5547" xr:uid="{00000000-0005-0000-0000-0000CF0F0000}"/>
    <cellStyle name="Separador de milhares 4 3 2 3 2 3" xfId="4305" xr:uid="{00000000-0005-0000-0000-0000D00F0000}"/>
    <cellStyle name="Separador de milhares 4 3 2 3 3" xfId="2351" xr:uid="{00000000-0005-0000-0000-0000D10F0000}"/>
    <cellStyle name="Separador de milhares 4 3 2 3 3 2" xfId="5047" xr:uid="{00000000-0005-0000-0000-0000D20F0000}"/>
    <cellStyle name="Separador de milhares 4 3 2 3 4" xfId="3539" xr:uid="{00000000-0005-0000-0000-0000D30F0000}"/>
    <cellStyle name="Separador de milhares 4 3 2 4" xfId="1272" xr:uid="{00000000-0005-0000-0000-0000D40F0000}"/>
    <cellStyle name="Separador de milhares 4 3 2 4 2" xfId="2601" xr:uid="{00000000-0005-0000-0000-0000D50F0000}"/>
    <cellStyle name="Separador de milhares 4 3 2 4 2 2" xfId="5297" xr:uid="{00000000-0005-0000-0000-0000D60F0000}"/>
    <cellStyle name="Separador de milhares 4 3 2 4 3" xfId="3968" xr:uid="{00000000-0005-0000-0000-0000D70F0000}"/>
    <cellStyle name="Separador de milhares 4 3 2 5" xfId="2101" xr:uid="{00000000-0005-0000-0000-0000D80F0000}"/>
    <cellStyle name="Separador de milhares 4 3 2 5 2" xfId="4797" xr:uid="{00000000-0005-0000-0000-0000D90F0000}"/>
    <cellStyle name="Separador de milhares 4 3 2 6" xfId="3202" xr:uid="{00000000-0005-0000-0000-0000DA0F0000}"/>
    <cellStyle name="Separador de milhares 4 3 3" xfId="616" xr:uid="{00000000-0005-0000-0000-0000DB0F0000}"/>
    <cellStyle name="Separador de milhares 4 3 3 2" xfId="953" xr:uid="{00000000-0005-0000-0000-0000DC0F0000}"/>
    <cellStyle name="Separador de milhares 4 3 3 2 2" xfId="1720" xr:uid="{00000000-0005-0000-0000-0000DD0F0000}"/>
    <cellStyle name="Separador de milhares 4 3 3 2 2 2" xfId="2914" xr:uid="{00000000-0005-0000-0000-0000DE0F0000}"/>
    <cellStyle name="Separador de milhares 4 3 3 2 2 2 2" xfId="5610" xr:uid="{00000000-0005-0000-0000-0000DF0F0000}"/>
    <cellStyle name="Separador de milhares 4 3 3 2 2 3" xfId="4416" xr:uid="{00000000-0005-0000-0000-0000E00F0000}"/>
    <cellStyle name="Separador de milhares 4 3 3 2 3" xfId="2414" xr:uid="{00000000-0005-0000-0000-0000E10F0000}"/>
    <cellStyle name="Separador de milhares 4 3 3 2 3 2" xfId="5110" xr:uid="{00000000-0005-0000-0000-0000E20F0000}"/>
    <cellStyle name="Separador de milhares 4 3 3 2 4" xfId="3650" xr:uid="{00000000-0005-0000-0000-0000E30F0000}"/>
    <cellStyle name="Separador de milhares 4 3 3 3" xfId="1383" xr:uid="{00000000-0005-0000-0000-0000E40F0000}"/>
    <cellStyle name="Separador de milhares 4 3 3 3 2" xfId="2664" xr:uid="{00000000-0005-0000-0000-0000E50F0000}"/>
    <cellStyle name="Separador de milhares 4 3 3 3 2 2" xfId="5360" xr:uid="{00000000-0005-0000-0000-0000E60F0000}"/>
    <cellStyle name="Separador de milhares 4 3 3 3 3" xfId="4079" xr:uid="{00000000-0005-0000-0000-0000E70F0000}"/>
    <cellStyle name="Separador de milhares 4 3 3 4" xfId="2164" xr:uid="{00000000-0005-0000-0000-0000E80F0000}"/>
    <cellStyle name="Separador de milhares 4 3 3 4 2" xfId="4860" xr:uid="{00000000-0005-0000-0000-0000E90F0000}"/>
    <cellStyle name="Separador de milhares 4 3 3 5" xfId="3313" xr:uid="{00000000-0005-0000-0000-0000EA0F0000}"/>
    <cellStyle name="Separador de milhares 4 3 4" xfId="778" xr:uid="{00000000-0005-0000-0000-0000EB0F0000}"/>
    <cellStyle name="Separador de milhares 4 3 4 2" xfId="1545" xr:uid="{00000000-0005-0000-0000-0000EC0F0000}"/>
    <cellStyle name="Separador de milhares 4 3 4 2 2" xfId="2789" xr:uid="{00000000-0005-0000-0000-0000ED0F0000}"/>
    <cellStyle name="Separador de milhares 4 3 4 2 2 2" xfId="5485" xr:uid="{00000000-0005-0000-0000-0000EE0F0000}"/>
    <cellStyle name="Separador de milhares 4 3 4 2 3" xfId="4241" xr:uid="{00000000-0005-0000-0000-0000EF0F0000}"/>
    <cellStyle name="Separador de milhares 4 3 4 3" xfId="2289" xr:uid="{00000000-0005-0000-0000-0000F00F0000}"/>
    <cellStyle name="Separador de milhares 4 3 4 3 2" xfId="4985" xr:uid="{00000000-0005-0000-0000-0000F10F0000}"/>
    <cellStyle name="Separador de milhares 4 3 4 4" xfId="3475" xr:uid="{00000000-0005-0000-0000-0000F20F0000}"/>
    <cellStyle name="Separador de milhares 4 3 5" xfId="1210" xr:uid="{00000000-0005-0000-0000-0000F30F0000}"/>
    <cellStyle name="Separador de milhares 4 3 5 2" xfId="2539" xr:uid="{00000000-0005-0000-0000-0000F40F0000}"/>
    <cellStyle name="Separador de milhares 4 3 5 2 2" xfId="5235" xr:uid="{00000000-0005-0000-0000-0000F50F0000}"/>
    <cellStyle name="Separador de milhares 4 3 5 3" xfId="3906" xr:uid="{00000000-0005-0000-0000-0000F60F0000}"/>
    <cellStyle name="Separador de milhares 4 3 6" xfId="2040" xr:uid="{00000000-0005-0000-0000-0000F70F0000}"/>
    <cellStyle name="Separador de milhares 4 3 6 2" xfId="4736" xr:uid="{00000000-0005-0000-0000-0000F80F0000}"/>
    <cellStyle name="Separador de milhares 4 3 7" xfId="3139" xr:uid="{00000000-0005-0000-0000-0000F90F0000}"/>
    <cellStyle name="Separador de milhares 4 4" xfId="116" xr:uid="{00000000-0005-0000-0000-0000FA0F0000}"/>
    <cellStyle name="Separador de milhares 4 4 2" xfId="1987" xr:uid="{00000000-0005-0000-0000-0000FB0F0000}"/>
    <cellStyle name="Separador de milhares 4 4 2 2" xfId="4683" xr:uid="{00000000-0005-0000-0000-0000FC0F0000}"/>
    <cellStyle name="Separador de milhares 4 4 3" xfId="3079" xr:uid="{00000000-0005-0000-0000-0000FD0F0000}"/>
    <cellStyle name="Separador de milhares 4 5" xfId="1983" xr:uid="{00000000-0005-0000-0000-0000FE0F0000}"/>
    <cellStyle name="Separador de milhares 4 5 2" xfId="4679" xr:uid="{00000000-0005-0000-0000-0000FF0F0000}"/>
    <cellStyle name="Separador de milhares 4 6" xfId="3075" xr:uid="{00000000-0005-0000-0000-000000100000}"/>
    <cellStyle name="Separador de milhares 5" xfId="113" xr:uid="{00000000-0005-0000-0000-000001100000}"/>
    <cellStyle name="Separador de milhares 5 2" xfId="173" xr:uid="{00000000-0005-0000-0000-000002100000}"/>
    <cellStyle name="Separador de milhares 5 2 2" xfId="454" xr:uid="{00000000-0005-0000-0000-000003100000}"/>
    <cellStyle name="Separador de milhares 5 2 2 2" xfId="519" xr:uid="{00000000-0005-0000-0000-000004100000}"/>
    <cellStyle name="Separador de milhares 5 2 2 2 2" xfId="693" xr:uid="{00000000-0005-0000-0000-000005100000}"/>
    <cellStyle name="Separador de milhares 5 2 2 2 2 2" xfId="1030" xr:uid="{00000000-0005-0000-0000-000006100000}"/>
    <cellStyle name="Separador de milhares 5 2 2 2 2 2 2" xfId="1797" xr:uid="{00000000-0005-0000-0000-000007100000}"/>
    <cellStyle name="Separador de milhares 5 2 2 2 2 2 2 2" xfId="2990" xr:uid="{00000000-0005-0000-0000-000008100000}"/>
    <cellStyle name="Separador de milhares 5 2 2 2 2 2 2 2 2" xfId="5686" xr:uid="{00000000-0005-0000-0000-000009100000}"/>
    <cellStyle name="Separador de milhares 5 2 2 2 2 2 2 3" xfId="4493" xr:uid="{00000000-0005-0000-0000-00000A100000}"/>
    <cellStyle name="Separador de milhares 5 2 2 2 2 2 3" xfId="2490" xr:uid="{00000000-0005-0000-0000-00000B100000}"/>
    <cellStyle name="Separador de milhares 5 2 2 2 2 2 3 2" xfId="5186" xr:uid="{00000000-0005-0000-0000-00000C100000}"/>
    <cellStyle name="Separador de milhares 5 2 2 2 2 2 4" xfId="3727" xr:uid="{00000000-0005-0000-0000-00000D100000}"/>
    <cellStyle name="Separador de milhares 5 2 2 2 2 3" xfId="1460" xr:uid="{00000000-0005-0000-0000-00000E100000}"/>
    <cellStyle name="Separador de milhares 5 2 2 2 2 3 2" xfId="2740" xr:uid="{00000000-0005-0000-0000-00000F100000}"/>
    <cellStyle name="Separador de milhares 5 2 2 2 2 3 2 2" xfId="5436" xr:uid="{00000000-0005-0000-0000-000010100000}"/>
    <cellStyle name="Separador de milhares 5 2 2 2 2 3 3" xfId="4156" xr:uid="{00000000-0005-0000-0000-000011100000}"/>
    <cellStyle name="Separador de milhares 5 2 2 2 2 4" xfId="2240" xr:uid="{00000000-0005-0000-0000-000012100000}"/>
    <cellStyle name="Separador de milhares 5 2 2 2 2 4 2" xfId="4936" xr:uid="{00000000-0005-0000-0000-000013100000}"/>
    <cellStyle name="Separador de milhares 5 2 2 2 2 5" xfId="3390" xr:uid="{00000000-0005-0000-0000-000014100000}"/>
    <cellStyle name="Separador de milhares 5 2 2 2 3" xfId="857" xr:uid="{00000000-0005-0000-0000-000015100000}"/>
    <cellStyle name="Separador de milhares 5 2 2 2 3 2" xfId="1624" xr:uid="{00000000-0005-0000-0000-000016100000}"/>
    <cellStyle name="Separador de milhares 5 2 2 2 3 2 2" xfId="2865" xr:uid="{00000000-0005-0000-0000-000017100000}"/>
    <cellStyle name="Separador de milhares 5 2 2 2 3 2 2 2" xfId="5561" xr:uid="{00000000-0005-0000-0000-000018100000}"/>
    <cellStyle name="Separador de milhares 5 2 2 2 3 2 3" xfId="4320" xr:uid="{00000000-0005-0000-0000-000019100000}"/>
    <cellStyle name="Separador de milhares 5 2 2 2 3 3" xfId="2365" xr:uid="{00000000-0005-0000-0000-00001A100000}"/>
    <cellStyle name="Separador de milhares 5 2 2 2 3 3 2" xfId="5061" xr:uid="{00000000-0005-0000-0000-00001B100000}"/>
    <cellStyle name="Separador de milhares 5 2 2 2 3 4" xfId="3554" xr:uid="{00000000-0005-0000-0000-00001C100000}"/>
    <cellStyle name="Separador de milhares 5 2 2 2 4" xfId="1287" xr:uid="{00000000-0005-0000-0000-00001D100000}"/>
    <cellStyle name="Separador de milhares 5 2 2 2 4 2" xfId="2615" xr:uid="{00000000-0005-0000-0000-00001E100000}"/>
    <cellStyle name="Separador de milhares 5 2 2 2 4 2 2" xfId="5311" xr:uid="{00000000-0005-0000-0000-00001F100000}"/>
    <cellStyle name="Separador de milhares 5 2 2 2 4 3" xfId="3983" xr:uid="{00000000-0005-0000-0000-000020100000}"/>
    <cellStyle name="Separador de milhares 5 2 2 2 5" xfId="2115" xr:uid="{00000000-0005-0000-0000-000021100000}"/>
    <cellStyle name="Separador de milhares 5 2 2 2 5 2" xfId="4811" xr:uid="{00000000-0005-0000-0000-000022100000}"/>
    <cellStyle name="Separador de milhares 5 2 2 2 6" xfId="3217" xr:uid="{00000000-0005-0000-0000-000023100000}"/>
    <cellStyle name="Separador de milhares 5 2 2 3" xfId="630" xr:uid="{00000000-0005-0000-0000-000024100000}"/>
    <cellStyle name="Separador de milhares 5 2 2 3 2" xfId="967" xr:uid="{00000000-0005-0000-0000-000025100000}"/>
    <cellStyle name="Separador de milhares 5 2 2 3 2 2" xfId="1734" xr:uid="{00000000-0005-0000-0000-000026100000}"/>
    <cellStyle name="Separador de milhares 5 2 2 3 2 2 2" xfId="2928" xr:uid="{00000000-0005-0000-0000-000027100000}"/>
    <cellStyle name="Separador de milhares 5 2 2 3 2 2 2 2" xfId="5624" xr:uid="{00000000-0005-0000-0000-000028100000}"/>
    <cellStyle name="Separador de milhares 5 2 2 3 2 2 3" xfId="4430" xr:uid="{00000000-0005-0000-0000-000029100000}"/>
    <cellStyle name="Separador de milhares 5 2 2 3 2 3" xfId="2428" xr:uid="{00000000-0005-0000-0000-00002A100000}"/>
    <cellStyle name="Separador de milhares 5 2 2 3 2 3 2" xfId="5124" xr:uid="{00000000-0005-0000-0000-00002B100000}"/>
    <cellStyle name="Separador de milhares 5 2 2 3 2 4" xfId="3664" xr:uid="{00000000-0005-0000-0000-00002C100000}"/>
    <cellStyle name="Separador de milhares 5 2 2 3 3" xfId="1397" xr:uid="{00000000-0005-0000-0000-00002D100000}"/>
    <cellStyle name="Separador de milhares 5 2 2 3 3 2" xfId="2678" xr:uid="{00000000-0005-0000-0000-00002E100000}"/>
    <cellStyle name="Separador de milhares 5 2 2 3 3 2 2" xfId="5374" xr:uid="{00000000-0005-0000-0000-00002F100000}"/>
    <cellStyle name="Separador de milhares 5 2 2 3 3 3" xfId="4093" xr:uid="{00000000-0005-0000-0000-000030100000}"/>
    <cellStyle name="Separador de milhares 5 2 2 3 4" xfId="2178" xr:uid="{00000000-0005-0000-0000-000031100000}"/>
    <cellStyle name="Separador de milhares 5 2 2 3 4 2" xfId="4874" xr:uid="{00000000-0005-0000-0000-000032100000}"/>
    <cellStyle name="Separador de milhares 5 2 2 3 5" xfId="3327" xr:uid="{00000000-0005-0000-0000-000033100000}"/>
    <cellStyle name="Separador de milhares 5 2 2 4" xfId="793" xr:uid="{00000000-0005-0000-0000-000034100000}"/>
    <cellStyle name="Separador de milhares 5 2 2 4 2" xfId="1560" xr:uid="{00000000-0005-0000-0000-000035100000}"/>
    <cellStyle name="Separador de milhares 5 2 2 4 2 2" xfId="2803" xr:uid="{00000000-0005-0000-0000-000036100000}"/>
    <cellStyle name="Separador de milhares 5 2 2 4 2 2 2" xfId="5499" xr:uid="{00000000-0005-0000-0000-000037100000}"/>
    <cellStyle name="Separador de milhares 5 2 2 4 2 3" xfId="4256" xr:uid="{00000000-0005-0000-0000-000038100000}"/>
    <cellStyle name="Separador de milhares 5 2 2 4 3" xfId="2303" xr:uid="{00000000-0005-0000-0000-000039100000}"/>
    <cellStyle name="Separador de milhares 5 2 2 4 3 2" xfId="4999" xr:uid="{00000000-0005-0000-0000-00003A100000}"/>
    <cellStyle name="Separador de milhares 5 2 2 4 4" xfId="3490" xr:uid="{00000000-0005-0000-0000-00003B100000}"/>
    <cellStyle name="Separador de milhares 5 2 2 5" xfId="1224" xr:uid="{00000000-0005-0000-0000-00003C100000}"/>
    <cellStyle name="Separador de milhares 5 2 2 5 2" xfId="2553" xr:uid="{00000000-0005-0000-0000-00003D100000}"/>
    <cellStyle name="Separador de milhares 5 2 2 5 2 2" xfId="5249" xr:uid="{00000000-0005-0000-0000-00003E100000}"/>
    <cellStyle name="Separador de milhares 5 2 2 5 3" xfId="3920" xr:uid="{00000000-0005-0000-0000-00003F100000}"/>
    <cellStyle name="Separador de milhares 5 2 2 6" xfId="2053" xr:uid="{00000000-0005-0000-0000-000040100000}"/>
    <cellStyle name="Separador de milhares 5 2 2 6 2" xfId="4749" xr:uid="{00000000-0005-0000-0000-000041100000}"/>
    <cellStyle name="Separador de milhares 5 2 2 7" xfId="3153" xr:uid="{00000000-0005-0000-0000-000042100000}"/>
    <cellStyle name="Separador de milhares 5 2 3" xfId="1997" xr:uid="{00000000-0005-0000-0000-000043100000}"/>
    <cellStyle name="Separador de milhares 5 2 3 2" xfId="4693" xr:uid="{00000000-0005-0000-0000-000044100000}"/>
    <cellStyle name="Separador de milhares 5 2 4" xfId="3090" xr:uid="{00000000-0005-0000-0000-000045100000}"/>
    <cellStyle name="Separador de milhares 5 3" xfId="174" xr:uid="{00000000-0005-0000-0000-000046100000}"/>
    <cellStyle name="Separador de milhares 5 4" xfId="445" xr:uid="{00000000-0005-0000-0000-000047100000}"/>
    <cellStyle name="Separador de milhares 5 4 2" xfId="509" xr:uid="{00000000-0005-0000-0000-000048100000}"/>
    <cellStyle name="Separador de milhares 5 4 2 2" xfId="683" xr:uid="{00000000-0005-0000-0000-000049100000}"/>
    <cellStyle name="Separador de milhares 5 4 2 2 2" xfId="1020" xr:uid="{00000000-0005-0000-0000-00004A100000}"/>
    <cellStyle name="Separador de milhares 5 4 2 2 2 2" xfId="1787" xr:uid="{00000000-0005-0000-0000-00004B100000}"/>
    <cellStyle name="Separador de milhares 5 4 2 2 2 2 2" xfId="2980" xr:uid="{00000000-0005-0000-0000-00004C100000}"/>
    <cellStyle name="Separador de milhares 5 4 2 2 2 2 2 2" xfId="5676" xr:uid="{00000000-0005-0000-0000-00004D100000}"/>
    <cellStyle name="Separador de milhares 5 4 2 2 2 2 3" xfId="4483" xr:uid="{00000000-0005-0000-0000-00004E100000}"/>
    <cellStyle name="Separador de milhares 5 4 2 2 2 3" xfId="2480" xr:uid="{00000000-0005-0000-0000-00004F100000}"/>
    <cellStyle name="Separador de milhares 5 4 2 2 2 3 2" xfId="5176" xr:uid="{00000000-0005-0000-0000-000050100000}"/>
    <cellStyle name="Separador de milhares 5 4 2 2 2 4" xfId="3717" xr:uid="{00000000-0005-0000-0000-000051100000}"/>
    <cellStyle name="Separador de milhares 5 4 2 2 3" xfId="1450" xr:uid="{00000000-0005-0000-0000-000052100000}"/>
    <cellStyle name="Separador de milhares 5 4 2 2 3 2" xfId="2730" xr:uid="{00000000-0005-0000-0000-000053100000}"/>
    <cellStyle name="Separador de milhares 5 4 2 2 3 2 2" xfId="5426" xr:uid="{00000000-0005-0000-0000-000054100000}"/>
    <cellStyle name="Separador de milhares 5 4 2 2 3 3" xfId="4146" xr:uid="{00000000-0005-0000-0000-000055100000}"/>
    <cellStyle name="Separador de milhares 5 4 2 2 4" xfId="2230" xr:uid="{00000000-0005-0000-0000-000056100000}"/>
    <cellStyle name="Separador de milhares 5 4 2 2 4 2" xfId="4926" xr:uid="{00000000-0005-0000-0000-000057100000}"/>
    <cellStyle name="Separador de milhares 5 4 2 2 5" xfId="3380" xr:uid="{00000000-0005-0000-0000-000058100000}"/>
    <cellStyle name="Separador de milhares 5 4 2 3" xfId="847" xr:uid="{00000000-0005-0000-0000-000059100000}"/>
    <cellStyle name="Separador de milhares 5 4 2 3 2" xfId="1614" xr:uid="{00000000-0005-0000-0000-00005A100000}"/>
    <cellStyle name="Separador de milhares 5 4 2 3 2 2" xfId="2855" xr:uid="{00000000-0005-0000-0000-00005B100000}"/>
    <cellStyle name="Separador de milhares 5 4 2 3 2 2 2" xfId="5551" xr:uid="{00000000-0005-0000-0000-00005C100000}"/>
    <cellStyle name="Separador de milhares 5 4 2 3 2 3" xfId="4310" xr:uid="{00000000-0005-0000-0000-00005D100000}"/>
    <cellStyle name="Separador de milhares 5 4 2 3 3" xfId="2355" xr:uid="{00000000-0005-0000-0000-00005E100000}"/>
    <cellStyle name="Separador de milhares 5 4 2 3 3 2" xfId="5051" xr:uid="{00000000-0005-0000-0000-00005F100000}"/>
    <cellStyle name="Separador de milhares 5 4 2 3 4" xfId="3544" xr:uid="{00000000-0005-0000-0000-000060100000}"/>
    <cellStyle name="Separador de milhares 5 4 2 4" xfId="1277" xr:uid="{00000000-0005-0000-0000-000061100000}"/>
    <cellStyle name="Separador de milhares 5 4 2 4 2" xfId="2605" xr:uid="{00000000-0005-0000-0000-000062100000}"/>
    <cellStyle name="Separador de milhares 5 4 2 4 2 2" xfId="5301" xr:uid="{00000000-0005-0000-0000-000063100000}"/>
    <cellStyle name="Separador de milhares 5 4 2 4 3" xfId="3973" xr:uid="{00000000-0005-0000-0000-000064100000}"/>
    <cellStyle name="Separador de milhares 5 4 2 5" xfId="2105" xr:uid="{00000000-0005-0000-0000-000065100000}"/>
    <cellStyle name="Separador de milhares 5 4 2 5 2" xfId="4801" xr:uid="{00000000-0005-0000-0000-000066100000}"/>
    <cellStyle name="Separador de milhares 5 4 2 6" xfId="3207" xr:uid="{00000000-0005-0000-0000-000067100000}"/>
    <cellStyle name="Separador de milhares 5 4 3" xfId="620" xr:uid="{00000000-0005-0000-0000-000068100000}"/>
    <cellStyle name="Separador de milhares 5 4 3 2" xfId="957" xr:uid="{00000000-0005-0000-0000-000069100000}"/>
    <cellStyle name="Separador de milhares 5 4 3 2 2" xfId="1724" xr:uid="{00000000-0005-0000-0000-00006A100000}"/>
    <cellStyle name="Separador de milhares 5 4 3 2 2 2" xfId="2918" xr:uid="{00000000-0005-0000-0000-00006B100000}"/>
    <cellStyle name="Separador de milhares 5 4 3 2 2 2 2" xfId="5614" xr:uid="{00000000-0005-0000-0000-00006C100000}"/>
    <cellStyle name="Separador de milhares 5 4 3 2 2 3" xfId="4420" xr:uid="{00000000-0005-0000-0000-00006D100000}"/>
    <cellStyle name="Separador de milhares 5 4 3 2 3" xfId="2418" xr:uid="{00000000-0005-0000-0000-00006E100000}"/>
    <cellStyle name="Separador de milhares 5 4 3 2 3 2" xfId="5114" xr:uid="{00000000-0005-0000-0000-00006F100000}"/>
    <cellStyle name="Separador de milhares 5 4 3 2 4" xfId="3654" xr:uid="{00000000-0005-0000-0000-000070100000}"/>
    <cellStyle name="Separador de milhares 5 4 3 3" xfId="1387" xr:uid="{00000000-0005-0000-0000-000071100000}"/>
    <cellStyle name="Separador de milhares 5 4 3 3 2" xfId="2668" xr:uid="{00000000-0005-0000-0000-000072100000}"/>
    <cellStyle name="Separador de milhares 5 4 3 3 2 2" xfId="5364" xr:uid="{00000000-0005-0000-0000-000073100000}"/>
    <cellStyle name="Separador de milhares 5 4 3 3 3" xfId="4083" xr:uid="{00000000-0005-0000-0000-000074100000}"/>
    <cellStyle name="Separador de milhares 5 4 3 4" xfId="2168" xr:uid="{00000000-0005-0000-0000-000075100000}"/>
    <cellStyle name="Separador de milhares 5 4 3 4 2" xfId="4864" xr:uid="{00000000-0005-0000-0000-000076100000}"/>
    <cellStyle name="Separador de milhares 5 4 3 5" xfId="3317" xr:uid="{00000000-0005-0000-0000-000077100000}"/>
    <cellStyle name="Separador de milhares 5 4 4" xfId="783" xr:uid="{00000000-0005-0000-0000-000078100000}"/>
    <cellStyle name="Separador de milhares 5 4 4 2" xfId="1550" xr:uid="{00000000-0005-0000-0000-000079100000}"/>
    <cellStyle name="Separador de milhares 5 4 4 2 2" xfId="2793" xr:uid="{00000000-0005-0000-0000-00007A100000}"/>
    <cellStyle name="Separador de milhares 5 4 4 2 2 2" xfId="5489" xr:uid="{00000000-0005-0000-0000-00007B100000}"/>
    <cellStyle name="Separador de milhares 5 4 4 2 3" xfId="4246" xr:uid="{00000000-0005-0000-0000-00007C100000}"/>
    <cellStyle name="Separador de milhares 5 4 4 3" xfId="2293" xr:uid="{00000000-0005-0000-0000-00007D100000}"/>
    <cellStyle name="Separador de milhares 5 4 4 3 2" xfId="4989" xr:uid="{00000000-0005-0000-0000-00007E100000}"/>
    <cellStyle name="Separador de milhares 5 4 4 4" xfId="3480" xr:uid="{00000000-0005-0000-0000-00007F100000}"/>
    <cellStyle name="Separador de milhares 5 4 5" xfId="1214" xr:uid="{00000000-0005-0000-0000-000080100000}"/>
    <cellStyle name="Separador de milhares 5 4 5 2" xfId="2543" xr:uid="{00000000-0005-0000-0000-000081100000}"/>
    <cellStyle name="Separador de milhares 5 4 5 2 2" xfId="5239" xr:uid="{00000000-0005-0000-0000-000082100000}"/>
    <cellStyle name="Separador de milhares 5 4 5 3" xfId="3910" xr:uid="{00000000-0005-0000-0000-000083100000}"/>
    <cellStyle name="Separador de milhares 5 4 6" xfId="2044" xr:uid="{00000000-0005-0000-0000-000084100000}"/>
    <cellStyle name="Separador de milhares 5 4 6 2" xfId="4740" xr:uid="{00000000-0005-0000-0000-000085100000}"/>
    <cellStyle name="Separador de milhares 5 4 7" xfId="3144" xr:uid="{00000000-0005-0000-0000-000086100000}"/>
    <cellStyle name="Separador de milhares 5 5" xfId="497" xr:uid="{00000000-0005-0000-0000-000087100000}"/>
    <cellStyle name="Separador de milhares 5 5 2" xfId="672" xr:uid="{00000000-0005-0000-0000-000088100000}"/>
    <cellStyle name="Separador de milhares 5 5 2 2" xfId="1009" xr:uid="{00000000-0005-0000-0000-000089100000}"/>
    <cellStyle name="Separador de milhares 5 5 2 2 2" xfId="1776" xr:uid="{00000000-0005-0000-0000-00008A100000}"/>
    <cellStyle name="Separador de milhares 5 5 2 2 2 2" xfId="2969" xr:uid="{00000000-0005-0000-0000-00008B100000}"/>
    <cellStyle name="Separador de milhares 5 5 2 2 2 2 2" xfId="5665" xr:uid="{00000000-0005-0000-0000-00008C100000}"/>
    <cellStyle name="Separador de milhares 5 5 2 2 2 3" xfId="4472" xr:uid="{00000000-0005-0000-0000-00008D100000}"/>
    <cellStyle name="Separador de milhares 5 5 2 2 3" xfId="2469" xr:uid="{00000000-0005-0000-0000-00008E100000}"/>
    <cellStyle name="Separador de milhares 5 5 2 2 3 2" xfId="5165" xr:uid="{00000000-0005-0000-0000-00008F100000}"/>
    <cellStyle name="Separador de milhares 5 5 2 2 4" xfId="3706" xr:uid="{00000000-0005-0000-0000-000090100000}"/>
    <cellStyle name="Separador de milhares 5 5 2 3" xfId="1439" xr:uid="{00000000-0005-0000-0000-000091100000}"/>
    <cellStyle name="Separador de milhares 5 5 2 3 2" xfId="2719" xr:uid="{00000000-0005-0000-0000-000092100000}"/>
    <cellStyle name="Separador de milhares 5 5 2 3 2 2" xfId="5415" xr:uid="{00000000-0005-0000-0000-000093100000}"/>
    <cellStyle name="Separador de milhares 5 5 2 3 3" xfId="4135" xr:uid="{00000000-0005-0000-0000-000094100000}"/>
    <cellStyle name="Separador de milhares 5 5 2 4" xfId="2219" xr:uid="{00000000-0005-0000-0000-000095100000}"/>
    <cellStyle name="Separador de milhares 5 5 2 4 2" xfId="4915" xr:uid="{00000000-0005-0000-0000-000096100000}"/>
    <cellStyle name="Separador de milhares 5 5 2 5" xfId="3369" xr:uid="{00000000-0005-0000-0000-000097100000}"/>
    <cellStyle name="Separador de milhares 5 5 3" xfId="835" xr:uid="{00000000-0005-0000-0000-000098100000}"/>
    <cellStyle name="Separador de milhares 5 5 3 2" xfId="1602" xr:uid="{00000000-0005-0000-0000-000099100000}"/>
    <cellStyle name="Separador de milhares 5 5 3 2 2" xfId="2844" xr:uid="{00000000-0005-0000-0000-00009A100000}"/>
    <cellStyle name="Separador de milhares 5 5 3 2 2 2" xfId="5540" xr:uid="{00000000-0005-0000-0000-00009B100000}"/>
    <cellStyle name="Separador de milhares 5 5 3 2 3" xfId="4298" xr:uid="{00000000-0005-0000-0000-00009C100000}"/>
    <cellStyle name="Separador de milhares 5 5 3 3" xfId="2344" xr:uid="{00000000-0005-0000-0000-00009D100000}"/>
    <cellStyle name="Separador de milhares 5 5 3 3 2" xfId="5040" xr:uid="{00000000-0005-0000-0000-00009E100000}"/>
    <cellStyle name="Separador de milhares 5 5 3 4" xfId="3532" xr:uid="{00000000-0005-0000-0000-00009F100000}"/>
    <cellStyle name="Separador de milhares 5 5 4" xfId="1265" xr:uid="{00000000-0005-0000-0000-0000A0100000}"/>
    <cellStyle name="Separador de milhares 5 5 4 2" xfId="2594" xr:uid="{00000000-0005-0000-0000-0000A1100000}"/>
    <cellStyle name="Separador de milhares 5 5 4 2 2" xfId="5290" xr:uid="{00000000-0005-0000-0000-0000A2100000}"/>
    <cellStyle name="Separador de milhares 5 5 4 3" xfId="3961" xr:uid="{00000000-0005-0000-0000-0000A3100000}"/>
    <cellStyle name="Separador de milhares 5 5 5" xfId="2094" xr:uid="{00000000-0005-0000-0000-0000A4100000}"/>
    <cellStyle name="Separador de milhares 5 5 5 2" xfId="4790" xr:uid="{00000000-0005-0000-0000-0000A5100000}"/>
    <cellStyle name="Separador de milhares 5 5 6" xfId="3195" xr:uid="{00000000-0005-0000-0000-0000A6100000}"/>
    <cellStyle name="Separador de milhares 5 6" xfId="572" xr:uid="{00000000-0005-0000-0000-0000A7100000}"/>
    <cellStyle name="Separador de milhares 5 6 2" xfId="909" xr:uid="{00000000-0005-0000-0000-0000A8100000}"/>
    <cellStyle name="Separador de milhares 5 6 2 2" xfId="1676" xr:uid="{00000000-0005-0000-0000-0000A9100000}"/>
    <cellStyle name="Separador de milhares 5 6 2 2 2" xfId="2907" xr:uid="{00000000-0005-0000-0000-0000AA100000}"/>
    <cellStyle name="Separador de milhares 5 6 2 2 2 2" xfId="5603" xr:uid="{00000000-0005-0000-0000-0000AB100000}"/>
    <cellStyle name="Separador de milhares 5 6 2 2 3" xfId="4372" xr:uid="{00000000-0005-0000-0000-0000AC100000}"/>
    <cellStyle name="Separador de milhares 5 6 2 3" xfId="2407" xr:uid="{00000000-0005-0000-0000-0000AD100000}"/>
    <cellStyle name="Separador de milhares 5 6 2 3 2" xfId="5103" xr:uid="{00000000-0005-0000-0000-0000AE100000}"/>
    <cellStyle name="Separador de milhares 5 6 2 4" xfId="3606" xr:uid="{00000000-0005-0000-0000-0000AF100000}"/>
    <cellStyle name="Separador de milhares 5 6 3" xfId="1339" xr:uid="{00000000-0005-0000-0000-0000B0100000}"/>
    <cellStyle name="Separador de milhares 5 6 3 2" xfId="2657" xr:uid="{00000000-0005-0000-0000-0000B1100000}"/>
    <cellStyle name="Separador de milhares 5 6 3 2 2" xfId="5353" xr:uid="{00000000-0005-0000-0000-0000B2100000}"/>
    <cellStyle name="Separador de milhares 5 6 3 3" xfId="4035" xr:uid="{00000000-0005-0000-0000-0000B3100000}"/>
    <cellStyle name="Separador de milhares 5 6 4" xfId="2157" xr:uid="{00000000-0005-0000-0000-0000B4100000}"/>
    <cellStyle name="Separador de milhares 5 6 4 2" xfId="4853" xr:uid="{00000000-0005-0000-0000-0000B5100000}"/>
    <cellStyle name="Separador de milhares 5 6 5" xfId="3269" xr:uid="{00000000-0005-0000-0000-0000B6100000}"/>
    <cellStyle name="Separador de milhares 5 7" xfId="768" xr:uid="{00000000-0005-0000-0000-0000B7100000}"/>
    <cellStyle name="Separador de milhares 5 7 2" xfId="1535" xr:uid="{00000000-0005-0000-0000-0000B8100000}"/>
    <cellStyle name="Separador de milhares 5 7 2 2" xfId="2782" xr:uid="{00000000-0005-0000-0000-0000B9100000}"/>
    <cellStyle name="Separador de milhares 5 7 2 2 2" xfId="5478" xr:uid="{00000000-0005-0000-0000-0000BA100000}"/>
    <cellStyle name="Separador de milhares 5 7 2 3" xfId="4231" xr:uid="{00000000-0005-0000-0000-0000BB100000}"/>
    <cellStyle name="Separador de milhares 5 7 3" xfId="2282" xr:uid="{00000000-0005-0000-0000-0000BC100000}"/>
    <cellStyle name="Separador de milhares 5 7 3 2" xfId="4978" xr:uid="{00000000-0005-0000-0000-0000BD100000}"/>
    <cellStyle name="Separador de milhares 5 7 4" xfId="3465" xr:uid="{00000000-0005-0000-0000-0000BE100000}"/>
    <cellStyle name="Separador de milhares 5 8" xfId="1201" xr:uid="{00000000-0005-0000-0000-0000BF100000}"/>
    <cellStyle name="Separador de milhares 5 8 2" xfId="2532" xr:uid="{00000000-0005-0000-0000-0000C0100000}"/>
    <cellStyle name="Separador de milhares 5 8 2 2" xfId="5228" xr:uid="{00000000-0005-0000-0000-0000C1100000}"/>
    <cellStyle name="Separador de milhares 5 8 3" xfId="3897" xr:uid="{00000000-0005-0000-0000-0000C2100000}"/>
    <cellStyle name="Separador de milhares 5 9" xfId="154" xr:uid="{00000000-0005-0000-0000-0000C3100000}"/>
    <cellStyle name="Separador de milhares 5 9 2" xfId="1990" xr:uid="{00000000-0005-0000-0000-0000C4100000}"/>
    <cellStyle name="Separador de milhares 5 9 2 2" xfId="4686" xr:uid="{00000000-0005-0000-0000-0000C5100000}"/>
    <cellStyle name="Separador de milhares 5 9 3" xfId="3083" xr:uid="{00000000-0005-0000-0000-0000C6100000}"/>
    <cellStyle name="Separador de milhares 6" xfId="59" xr:uid="{00000000-0005-0000-0000-0000C7100000}"/>
    <cellStyle name="Separador de milhares 6 2" xfId="73" xr:uid="{00000000-0005-0000-0000-0000C8100000}"/>
    <cellStyle name="Separador de milhares 6 2 2" xfId="447" xr:uid="{00000000-0005-0000-0000-0000C9100000}"/>
    <cellStyle name="Separador de milhares 6 2 2 2" xfId="511" xr:uid="{00000000-0005-0000-0000-0000CA100000}"/>
    <cellStyle name="Separador de milhares 6 2 2 2 2" xfId="685" xr:uid="{00000000-0005-0000-0000-0000CB100000}"/>
    <cellStyle name="Separador de milhares 6 2 2 2 2 2" xfId="1022" xr:uid="{00000000-0005-0000-0000-0000CC100000}"/>
    <cellStyle name="Separador de milhares 6 2 2 2 2 2 2" xfId="1789" xr:uid="{00000000-0005-0000-0000-0000CD100000}"/>
    <cellStyle name="Separador de milhares 6 2 2 2 2 2 2 2" xfId="2982" xr:uid="{00000000-0005-0000-0000-0000CE100000}"/>
    <cellStyle name="Separador de milhares 6 2 2 2 2 2 2 2 2" xfId="5678" xr:uid="{00000000-0005-0000-0000-0000CF100000}"/>
    <cellStyle name="Separador de milhares 6 2 2 2 2 2 2 3" xfId="4485" xr:uid="{00000000-0005-0000-0000-0000D0100000}"/>
    <cellStyle name="Separador de milhares 6 2 2 2 2 2 3" xfId="2482" xr:uid="{00000000-0005-0000-0000-0000D1100000}"/>
    <cellStyle name="Separador de milhares 6 2 2 2 2 2 3 2" xfId="5178" xr:uid="{00000000-0005-0000-0000-0000D2100000}"/>
    <cellStyle name="Separador de milhares 6 2 2 2 2 2 4" xfId="3719" xr:uid="{00000000-0005-0000-0000-0000D3100000}"/>
    <cellStyle name="Separador de milhares 6 2 2 2 2 3" xfId="1452" xr:uid="{00000000-0005-0000-0000-0000D4100000}"/>
    <cellStyle name="Separador de milhares 6 2 2 2 2 3 2" xfId="2732" xr:uid="{00000000-0005-0000-0000-0000D5100000}"/>
    <cellStyle name="Separador de milhares 6 2 2 2 2 3 2 2" xfId="5428" xr:uid="{00000000-0005-0000-0000-0000D6100000}"/>
    <cellStyle name="Separador de milhares 6 2 2 2 2 3 3" xfId="4148" xr:uid="{00000000-0005-0000-0000-0000D7100000}"/>
    <cellStyle name="Separador de milhares 6 2 2 2 2 4" xfId="2232" xr:uid="{00000000-0005-0000-0000-0000D8100000}"/>
    <cellStyle name="Separador de milhares 6 2 2 2 2 4 2" xfId="4928" xr:uid="{00000000-0005-0000-0000-0000D9100000}"/>
    <cellStyle name="Separador de milhares 6 2 2 2 2 5" xfId="3382" xr:uid="{00000000-0005-0000-0000-0000DA100000}"/>
    <cellStyle name="Separador de milhares 6 2 2 2 3" xfId="849" xr:uid="{00000000-0005-0000-0000-0000DB100000}"/>
    <cellStyle name="Separador de milhares 6 2 2 2 3 2" xfId="1616" xr:uid="{00000000-0005-0000-0000-0000DC100000}"/>
    <cellStyle name="Separador de milhares 6 2 2 2 3 2 2" xfId="2857" xr:uid="{00000000-0005-0000-0000-0000DD100000}"/>
    <cellStyle name="Separador de milhares 6 2 2 2 3 2 2 2" xfId="5553" xr:uid="{00000000-0005-0000-0000-0000DE100000}"/>
    <cellStyle name="Separador de milhares 6 2 2 2 3 2 3" xfId="4312" xr:uid="{00000000-0005-0000-0000-0000DF100000}"/>
    <cellStyle name="Separador de milhares 6 2 2 2 3 3" xfId="2357" xr:uid="{00000000-0005-0000-0000-0000E0100000}"/>
    <cellStyle name="Separador de milhares 6 2 2 2 3 3 2" xfId="5053" xr:uid="{00000000-0005-0000-0000-0000E1100000}"/>
    <cellStyle name="Separador de milhares 6 2 2 2 3 4" xfId="3546" xr:uid="{00000000-0005-0000-0000-0000E2100000}"/>
    <cellStyle name="Separador de milhares 6 2 2 2 4" xfId="1279" xr:uid="{00000000-0005-0000-0000-0000E3100000}"/>
    <cellStyle name="Separador de milhares 6 2 2 2 4 2" xfId="2607" xr:uid="{00000000-0005-0000-0000-0000E4100000}"/>
    <cellStyle name="Separador de milhares 6 2 2 2 4 2 2" xfId="5303" xr:uid="{00000000-0005-0000-0000-0000E5100000}"/>
    <cellStyle name="Separador de milhares 6 2 2 2 4 3" xfId="3975" xr:uid="{00000000-0005-0000-0000-0000E6100000}"/>
    <cellStyle name="Separador de milhares 6 2 2 2 5" xfId="2107" xr:uid="{00000000-0005-0000-0000-0000E7100000}"/>
    <cellStyle name="Separador de milhares 6 2 2 2 5 2" xfId="4803" xr:uid="{00000000-0005-0000-0000-0000E8100000}"/>
    <cellStyle name="Separador de milhares 6 2 2 2 6" xfId="3209" xr:uid="{00000000-0005-0000-0000-0000E9100000}"/>
    <cellStyle name="Separador de milhares 6 2 2 3" xfId="622" xr:uid="{00000000-0005-0000-0000-0000EA100000}"/>
    <cellStyle name="Separador de milhares 6 2 2 3 2" xfId="959" xr:uid="{00000000-0005-0000-0000-0000EB100000}"/>
    <cellStyle name="Separador de milhares 6 2 2 3 2 2" xfId="1726" xr:uid="{00000000-0005-0000-0000-0000EC100000}"/>
    <cellStyle name="Separador de milhares 6 2 2 3 2 2 2" xfId="2920" xr:uid="{00000000-0005-0000-0000-0000ED100000}"/>
    <cellStyle name="Separador de milhares 6 2 2 3 2 2 2 2" xfId="5616" xr:uid="{00000000-0005-0000-0000-0000EE100000}"/>
    <cellStyle name="Separador de milhares 6 2 2 3 2 2 3" xfId="4422" xr:uid="{00000000-0005-0000-0000-0000EF100000}"/>
    <cellStyle name="Separador de milhares 6 2 2 3 2 3" xfId="2420" xr:uid="{00000000-0005-0000-0000-0000F0100000}"/>
    <cellStyle name="Separador de milhares 6 2 2 3 2 3 2" xfId="5116" xr:uid="{00000000-0005-0000-0000-0000F1100000}"/>
    <cellStyle name="Separador de milhares 6 2 2 3 2 4" xfId="3656" xr:uid="{00000000-0005-0000-0000-0000F2100000}"/>
    <cellStyle name="Separador de milhares 6 2 2 3 3" xfId="1389" xr:uid="{00000000-0005-0000-0000-0000F3100000}"/>
    <cellStyle name="Separador de milhares 6 2 2 3 3 2" xfId="2670" xr:uid="{00000000-0005-0000-0000-0000F4100000}"/>
    <cellStyle name="Separador de milhares 6 2 2 3 3 2 2" xfId="5366" xr:uid="{00000000-0005-0000-0000-0000F5100000}"/>
    <cellStyle name="Separador de milhares 6 2 2 3 3 3" xfId="4085" xr:uid="{00000000-0005-0000-0000-0000F6100000}"/>
    <cellStyle name="Separador de milhares 6 2 2 3 4" xfId="2170" xr:uid="{00000000-0005-0000-0000-0000F7100000}"/>
    <cellStyle name="Separador de milhares 6 2 2 3 4 2" xfId="4866" xr:uid="{00000000-0005-0000-0000-0000F8100000}"/>
    <cellStyle name="Separador de milhares 6 2 2 3 5" xfId="3319" xr:uid="{00000000-0005-0000-0000-0000F9100000}"/>
    <cellStyle name="Separador de milhares 6 2 2 4" xfId="785" xr:uid="{00000000-0005-0000-0000-0000FA100000}"/>
    <cellStyle name="Separador de milhares 6 2 2 4 2" xfId="1552" xr:uid="{00000000-0005-0000-0000-0000FB100000}"/>
    <cellStyle name="Separador de milhares 6 2 2 4 2 2" xfId="2795" xr:uid="{00000000-0005-0000-0000-0000FC100000}"/>
    <cellStyle name="Separador de milhares 6 2 2 4 2 2 2" xfId="5491" xr:uid="{00000000-0005-0000-0000-0000FD100000}"/>
    <cellStyle name="Separador de milhares 6 2 2 4 2 3" xfId="4248" xr:uid="{00000000-0005-0000-0000-0000FE100000}"/>
    <cellStyle name="Separador de milhares 6 2 2 4 3" xfId="2295" xr:uid="{00000000-0005-0000-0000-0000FF100000}"/>
    <cellStyle name="Separador de milhares 6 2 2 4 3 2" xfId="4991" xr:uid="{00000000-0005-0000-0000-000000110000}"/>
    <cellStyle name="Separador de milhares 6 2 2 4 4" xfId="3482" xr:uid="{00000000-0005-0000-0000-000001110000}"/>
    <cellStyle name="Separador de milhares 6 2 2 5" xfId="1216" xr:uid="{00000000-0005-0000-0000-000002110000}"/>
    <cellStyle name="Separador de milhares 6 2 2 5 2" xfId="2545" xr:uid="{00000000-0005-0000-0000-000003110000}"/>
    <cellStyle name="Separador de milhares 6 2 2 5 2 2" xfId="5241" xr:uid="{00000000-0005-0000-0000-000004110000}"/>
    <cellStyle name="Separador de milhares 6 2 2 5 3" xfId="3912" xr:uid="{00000000-0005-0000-0000-000005110000}"/>
    <cellStyle name="Separador de milhares 6 2 2 6" xfId="2046" xr:uid="{00000000-0005-0000-0000-000006110000}"/>
    <cellStyle name="Separador de milhares 6 2 2 6 2" xfId="4742" xr:uid="{00000000-0005-0000-0000-000007110000}"/>
    <cellStyle name="Separador de milhares 6 2 2 7" xfId="3146" xr:uid="{00000000-0005-0000-0000-000008110000}"/>
    <cellStyle name="Separador de milhares 6 2 3" xfId="155" xr:uid="{00000000-0005-0000-0000-000009110000}"/>
    <cellStyle name="Separador de milhares 6 2 3 2" xfId="1991" xr:uid="{00000000-0005-0000-0000-00000A110000}"/>
    <cellStyle name="Separador de milhares 6 2 3 2 2" xfId="4687" xr:uid="{00000000-0005-0000-0000-00000B110000}"/>
    <cellStyle name="Separador de milhares 6 2 3 3" xfId="3084" xr:uid="{00000000-0005-0000-0000-00000C110000}"/>
    <cellStyle name="Separador de milhares 6 2 4" xfId="1978" xr:uid="{00000000-0005-0000-0000-00000D110000}"/>
    <cellStyle name="Separador de milhares 6 2 4 2" xfId="4674" xr:uid="{00000000-0005-0000-0000-00000E110000}"/>
    <cellStyle name="Separador de milhares 6 2 5" xfId="3070" xr:uid="{00000000-0005-0000-0000-00000F110000}"/>
    <cellStyle name="Separador de milhares 6 3" xfId="415" xr:uid="{00000000-0005-0000-0000-000010110000}"/>
    <cellStyle name="Separador de milhares 6 3 2" xfId="483" xr:uid="{00000000-0005-0000-0000-000011110000}"/>
    <cellStyle name="Separador de milhares 6 3 2 2" xfId="548" xr:uid="{00000000-0005-0000-0000-000012110000}"/>
    <cellStyle name="Separador de milhares 6 3 2 2 2" xfId="722" xr:uid="{00000000-0005-0000-0000-000013110000}"/>
    <cellStyle name="Separador de milhares 6 3 2 2 2 2" xfId="1059" xr:uid="{00000000-0005-0000-0000-000014110000}"/>
    <cellStyle name="Separador de milhares 6 3 2 2 2 2 2" xfId="1826" xr:uid="{00000000-0005-0000-0000-000015110000}"/>
    <cellStyle name="Separador de milhares 6 3 2 2 2 2 2 2" xfId="3019" xr:uid="{00000000-0005-0000-0000-000016110000}"/>
    <cellStyle name="Separador de milhares 6 3 2 2 2 2 2 2 2" xfId="5715" xr:uid="{00000000-0005-0000-0000-000017110000}"/>
    <cellStyle name="Separador de milhares 6 3 2 2 2 2 2 3" xfId="4522" xr:uid="{00000000-0005-0000-0000-000018110000}"/>
    <cellStyle name="Separador de milhares 6 3 2 2 2 2 3" xfId="2519" xr:uid="{00000000-0005-0000-0000-000019110000}"/>
    <cellStyle name="Separador de milhares 6 3 2 2 2 2 3 2" xfId="5215" xr:uid="{00000000-0005-0000-0000-00001A110000}"/>
    <cellStyle name="Separador de milhares 6 3 2 2 2 2 4" xfId="3756" xr:uid="{00000000-0005-0000-0000-00001B110000}"/>
    <cellStyle name="Separador de milhares 6 3 2 2 2 3" xfId="1489" xr:uid="{00000000-0005-0000-0000-00001C110000}"/>
    <cellStyle name="Separador de milhares 6 3 2 2 2 3 2" xfId="2769" xr:uid="{00000000-0005-0000-0000-00001D110000}"/>
    <cellStyle name="Separador de milhares 6 3 2 2 2 3 2 2" xfId="5465" xr:uid="{00000000-0005-0000-0000-00001E110000}"/>
    <cellStyle name="Separador de milhares 6 3 2 2 2 3 3" xfId="4185" xr:uid="{00000000-0005-0000-0000-00001F110000}"/>
    <cellStyle name="Separador de milhares 6 3 2 2 2 4" xfId="2269" xr:uid="{00000000-0005-0000-0000-000020110000}"/>
    <cellStyle name="Separador de milhares 6 3 2 2 2 4 2" xfId="4965" xr:uid="{00000000-0005-0000-0000-000021110000}"/>
    <cellStyle name="Separador de milhares 6 3 2 2 2 5" xfId="3419" xr:uid="{00000000-0005-0000-0000-000022110000}"/>
    <cellStyle name="Separador de milhares 6 3 2 2 3" xfId="886" xr:uid="{00000000-0005-0000-0000-000023110000}"/>
    <cellStyle name="Separador de milhares 6 3 2 2 3 2" xfId="1653" xr:uid="{00000000-0005-0000-0000-000024110000}"/>
    <cellStyle name="Separador de milhares 6 3 2 2 3 2 2" xfId="2894" xr:uid="{00000000-0005-0000-0000-000025110000}"/>
    <cellStyle name="Separador de milhares 6 3 2 2 3 2 2 2" xfId="5590" xr:uid="{00000000-0005-0000-0000-000026110000}"/>
    <cellStyle name="Separador de milhares 6 3 2 2 3 2 3" xfId="4349" xr:uid="{00000000-0005-0000-0000-000027110000}"/>
    <cellStyle name="Separador de milhares 6 3 2 2 3 3" xfId="2394" xr:uid="{00000000-0005-0000-0000-000028110000}"/>
    <cellStyle name="Separador de milhares 6 3 2 2 3 3 2" xfId="5090" xr:uid="{00000000-0005-0000-0000-000029110000}"/>
    <cellStyle name="Separador de milhares 6 3 2 2 3 4" xfId="3583" xr:uid="{00000000-0005-0000-0000-00002A110000}"/>
    <cellStyle name="Separador de milhares 6 3 2 2 4" xfId="1316" xr:uid="{00000000-0005-0000-0000-00002B110000}"/>
    <cellStyle name="Separador de milhares 6 3 2 2 4 2" xfId="2644" xr:uid="{00000000-0005-0000-0000-00002C110000}"/>
    <cellStyle name="Separador de milhares 6 3 2 2 4 2 2" xfId="5340" xr:uid="{00000000-0005-0000-0000-00002D110000}"/>
    <cellStyle name="Separador de milhares 6 3 2 2 4 3" xfId="4012" xr:uid="{00000000-0005-0000-0000-00002E110000}"/>
    <cellStyle name="Separador de milhares 6 3 2 2 5" xfId="2144" xr:uid="{00000000-0005-0000-0000-00002F110000}"/>
    <cellStyle name="Separador de milhares 6 3 2 2 5 2" xfId="4840" xr:uid="{00000000-0005-0000-0000-000030110000}"/>
    <cellStyle name="Separador de milhares 6 3 2 2 6" xfId="3246" xr:uid="{00000000-0005-0000-0000-000031110000}"/>
    <cellStyle name="Separador de milhares 6 3 2 3" xfId="659" xr:uid="{00000000-0005-0000-0000-000032110000}"/>
    <cellStyle name="Separador de milhares 6 3 2 3 2" xfId="996" xr:uid="{00000000-0005-0000-0000-000033110000}"/>
    <cellStyle name="Separador de milhares 6 3 2 3 2 2" xfId="1763" xr:uid="{00000000-0005-0000-0000-000034110000}"/>
    <cellStyle name="Separador de milhares 6 3 2 3 2 2 2" xfId="2957" xr:uid="{00000000-0005-0000-0000-000035110000}"/>
    <cellStyle name="Separador de milhares 6 3 2 3 2 2 2 2" xfId="5653" xr:uid="{00000000-0005-0000-0000-000036110000}"/>
    <cellStyle name="Separador de milhares 6 3 2 3 2 2 3" xfId="4459" xr:uid="{00000000-0005-0000-0000-000037110000}"/>
    <cellStyle name="Separador de milhares 6 3 2 3 2 3" xfId="2457" xr:uid="{00000000-0005-0000-0000-000038110000}"/>
    <cellStyle name="Separador de milhares 6 3 2 3 2 3 2" xfId="5153" xr:uid="{00000000-0005-0000-0000-000039110000}"/>
    <cellStyle name="Separador de milhares 6 3 2 3 2 4" xfId="3693" xr:uid="{00000000-0005-0000-0000-00003A110000}"/>
    <cellStyle name="Separador de milhares 6 3 2 3 3" xfId="1426" xr:uid="{00000000-0005-0000-0000-00003B110000}"/>
    <cellStyle name="Separador de milhares 6 3 2 3 3 2" xfId="2707" xr:uid="{00000000-0005-0000-0000-00003C110000}"/>
    <cellStyle name="Separador de milhares 6 3 2 3 3 2 2" xfId="5403" xr:uid="{00000000-0005-0000-0000-00003D110000}"/>
    <cellStyle name="Separador de milhares 6 3 2 3 3 3" xfId="4122" xr:uid="{00000000-0005-0000-0000-00003E110000}"/>
    <cellStyle name="Separador de milhares 6 3 2 3 4" xfId="2207" xr:uid="{00000000-0005-0000-0000-00003F110000}"/>
    <cellStyle name="Separador de milhares 6 3 2 3 4 2" xfId="4903" xr:uid="{00000000-0005-0000-0000-000040110000}"/>
    <cellStyle name="Separador de milhares 6 3 2 3 5" xfId="3356" xr:uid="{00000000-0005-0000-0000-000041110000}"/>
    <cellStyle name="Separador de milhares 6 3 2 4" xfId="822" xr:uid="{00000000-0005-0000-0000-000042110000}"/>
    <cellStyle name="Separador de milhares 6 3 2 4 2" xfId="1589" xr:uid="{00000000-0005-0000-0000-000043110000}"/>
    <cellStyle name="Separador de milhares 6 3 2 4 2 2" xfId="2832" xr:uid="{00000000-0005-0000-0000-000044110000}"/>
    <cellStyle name="Separador de milhares 6 3 2 4 2 2 2" xfId="5528" xr:uid="{00000000-0005-0000-0000-000045110000}"/>
    <cellStyle name="Separador de milhares 6 3 2 4 2 3" xfId="4285" xr:uid="{00000000-0005-0000-0000-000046110000}"/>
    <cellStyle name="Separador de milhares 6 3 2 4 3" xfId="2332" xr:uid="{00000000-0005-0000-0000-000047110000}"/>
    <cellStyle name="Separador de milhares 6 3 2 4 3 2" xfId="5028" xr:uid="{00000000-0005-0000-0000-000048110000}"/>
    <cellStyle name="Separador de milhares 6 3 2 4 4" xfId="3519" xr:uid="{00000000-0005-0000-0000-000049110000}"/>
    <cellStyle name="Separador de milhares 6 3 2 5" xfId="1253" xr:uid="{00000000-0005-0000-0000-00004A110000}"/>
    <cellStyle name="Separador de milhares 6 3 2 5 2" xfId="2582" xr:uid="{00000000-0005-0000-0000-00004B110000}"/>
    <cellStyle name="Separador de milhares 6 3 2 5 2 2" xfId="5278" xr:uid="{00000000-0005-0000-0000-00004C110000}"/>
    <cellStyle name="Separador de milhares 6 3 2 5 3" xfId="3949" xr:uid="{00000000-0005-0000-0000-00004D110000}"/>
    <cellStyle name="Separador de milhares 6 3 2 6" xfId="2082" xr:uid="{00000000-0005-0000-0000-00004E110000}"/>
    <cellStyle name="Separador de milhares 6 3 2 6 2" xfId="4778" xr:uid="{00000000-0005-0000-0000-00004F110000}"/>
    <cellStyle name="Separador de milhares 6 3 2 7" xfId="3182" xr:uid="{00000000-0005-0000-0000-000050110000}"/>
    <cellStyle name="Separador de milhares 6 3 3" xfId="2027" xr:uid="{00000000-0005-0000-0000-000051110000}"/>
    <cellStyle name="Separador de milhares 6 3 3 2" xfId="4723" xr:uid="{00000000-0005-0000-0000-000052110000}"/>
    <cellStyle name="Separador de milhares 6 3 4" xfId="3126" xr:uid="{00000000-0005-0000-0000-000053110000}"/>
    <cellStyle name="Separador de milhares 6 4" xfId="446" xr:uid="{00000000-0005-0000-0000-000054110000}"/>
    <cellStyle name="Separador de milhares 6 4 2" xfId="510" xr:uid="{00000000-0005-0000-0000-000055110000}"/>
    <cellStyle name="Separador de milhares 6 4 2 2" xfId="684" xr:uid="{00000000-0005-0000-0000-000056110000}"/>
    <cellStyle name="Separador de milhares 6 4 2 2 2" xfId="1021" xr:uid="{00000000-0005-0000-0000-000057110000}"/>
    <cellStyle name="Separador de milhares 6 4 2 2 2 2" xfId="1788" xr:uid="{00000000-0005-0000-0000-000058110000}"/>
    <cellStyle name="Separador de milhares 6 4 2 2 2 2 2" xfId="2981" xr:uid="{00000000-0005-0000-0000-000059110000}"/>
    <cellStyle name="Separador de milhares 6 4 2 2 2 2 2 2" xfId="5677" xr:uid="{00000000-0005-0000-0000-00005A110000}"/>
    <cellStyle name="Separador de milhares 6 4 2 2 2 2 3" xfId="4484" xr:uid="{00000000-0005-0000-0000-00005B110000}"/>
    <cellStyle name="Separador de milhares 6 4 2 2 2 3" xfId="2481" xr:uid="{00000000-0005-0000-0000-00005C110000}"/>
    <cellStyle name="Separador de milhares 6 4 2 2 2 3 2" xfId="5177" xr:uid="{00000000-0005-0000-0000-00005D110000}"/>
    <cellStyle name="Separador de milhares 6 4 2 2 2 4" xfId="3718" xr:uid="{00000000-0005-0000-0000-00005E110000}"/>
    <cellStyle name="Separador de milhares 6 4 2 2 3" xfId="1451" xr:uid="{00000000-0005-0000-0000-00005F110000}"/>
    <cellStyle name="Separador de milhares 6 4 2 2 3 2" xfId="2731" xr:uid="{00000000-0005-0000-0000-000060110000}"/>
    <cellStyle name="Separador de milhares 6 4 2 2 3 2 2" xfId="5427" xr:uid="{00000000-0005-0000-0000-000061110000}"/>
    <cellStyle name="Separador de milhares 6 4 2 2 3 3" xfId="4147" xr:uid="{00000000-0005-0000-0000-000062110000}"/>
    <cellStyle name="Separador de milhares 6 4 2 2 4" xfId="2231" xr:uid="{00000000-0005-0000-0000-000063110000}"/>
    <cellStyle name="Separador de milhares 6 4 2 2 4 2" xfId="4927" xr:uid="{00000000-0005-0000-0000-000064110000}"/>
    <cellStyle name="Separador de milhares 6 4 2 2 5" xfId="3381" xr:uid="{00000000-0005-0000-0000-000065110000}"/>
    <cellStyle name="Separador de milhares 6 4 2 3" xfId="848" xr:uid="{00000000-0005-0000-0000-000066110000}"/>
    <cellStyle name="Separador de milhares 6 4 2 3 2" xfId="1615" xr:uid="{00000000-0005-0000-0000-000067110000}"/>
    <cellStyle name="Separador de milhares 6 4 2 3 2 2" xfId="2856" xr:uid="{00000000-0005-0000-0000-000068110000}"/>
    <cellStyle name="Separador de milhares 6 4 2 3 2 2 2" xfId="5552" xr:uid="{00000000-0005-0000-0000-000069110000}"/>
    <cellStyle name="Separador de milhares 6 4 2 3 2 3" xfId="4311" xr:uid="{00000000-0005-0000-0000-00006A110000}"/>
    <cellStyle name="Separador de milhares 6 4 2 3 3" xfId="2356" xr:uid="{00000000-0005-0000-0000-00006B110000}"/>
    <cellStyle name="Separador de milhares 6 4 2 3 3 2" xfId="5052" xr:uid="{00000000-0005-0000-0000-00006C110000}"/>
    <cellStyle name="Separador de milhares 6 4 2 3 4" xfId="3545" xr:uid="{00000000-0005-0000-0000-00006D110000}"/>
    <cellStyle name="Separador de milhares 6 4 2 4" xfId="1278" xr:uid="{00000000-0005-0000-0000-00006E110000}"/>
    <cellStyle name="Separador de milhares 6 4 2 4 2" xfId="2606" xr:uid="{00000000-0005-0000-0000-00006F110000}"/>
    <cellStyle name="Separador de milhares 6 4 2 4 2 2" xfId="5302" xr:uid="{00000000-0005-0000-0000-000070110000}"/>
    <cellStyle name="Separador de milhares 6 4 2 4 3" xfId="3974" xr:uid="{00000000-0005-0000-0000-000071110000}"/>
    <cellStyle name="Separador de milhares 6 4 2 5" xfId="2106" xr:uid="{00000000-0005-0000-0000-000072110000}"/>
    <cellStyle name="Separador de milhares 6 4 2 5 2" xfId="4802" xr:uid="{00000000-0005-0000-0000-000073110000}"/>
    <cellStyle name="Separador de milhares 6 4 2 6" xfId="3208" xr:uid="{00000000-0005-0000-0000-000074110000}"/>
    <cellStyle name="Separador de milhares 6 4 3" xfId="621" xr:uid="{00000000-0005-0000-0000-000075110000}"/>
    <cellStyle name="Separador de milhares 6 4 3 2" xfId="958" xr:uid="{00000000-0005-0000-0000-000076110000}"/>
    <cellStyle name="Separador de milhares 6 4 3 2 2" xfId="1725" xr:uid="{00000000-0005-0000-0000-000077110000}"/>
    <cellStyle name="Separador de milhares 6 4 3 2 2 2" xfId="2919" xr:uid="{00000000-0005-0000-0000-000078110000}"/>
    <cellStyle name="Separador de milhares 6 4 3 2 2 2 2" xfId="5615" xr:uid="{00000000-0005-0000-0000-000079110000}"/>
    <cellStyle name="Separador de milhares 6 4 3 2 2 3" xfId="4421" xr:uid="{00000000-0005-0000-0000-00007A110000}"/>
    <cellStyle name="Separador de milhares 6 4 3 2 3" xfId="2419" xr:uid="{00000000-0005-0000-0000-00007B110000}"/>
    <cellStyle name="Separador de milhares 6 4 3 2 3 2" xfId="5115" xr:uid="{00000000-0005-0000-0000-00007C110000}"/>
    <cellStyle name="Separador de milhares 6 4 3 2 4" xfId="3655" xr:uid="{00000000-0005-0000-0000-00007D110000}"/>
    <cellStyle name="Separador de milhares 6 4 3 3" xfId="1388" xr:uid="{00000000-0005-0000-0000-00007E110000}"/>
    <cellStyle name="Separador de milhares 6 4 3 3 2" xfId="2669" xr:uid="{00000000-0005-0000-0000-00007F110000}"/>
    <cellStyle name="Separador de milhares 6 4 3 3 2 2" xfId="5365" xr:uid="{00000000-0005-0000-0000-000080110000}"/>
    <cellStyle name="Separador de milhares 6 4 3 3 3" xfId="4084" xr:uid="{00000000-0005-0000-0000-000081110000}"/>
    <cellStyle name="Separador de milhares 6 4 3 4" xfId="2169" xr:uid="{00000000-0005-0000-0000-000082110000}"/>
    <cellStyle name="Separador de milhares 6 4 3 4 2" xfId="4865" xr:uid="{00000000-0005-0000-0000-000083110000}"/>
    <cellStyle name="Separador de milhares 6 4 3 5" xfId="3318" xr:uid="{00000000-0005-0000-0000-000084110000}"/>
    <cellStyle name="Separador de milhares 6 4 4" xfId="784" xr:uid="{00000000-0005-0000-0000-000085110000}"/>
    <cellStyle name="Separador de milhares 6 4 4 2" xfId="1551" xr:uid="{00000000-0005-0000-0000-000086110000}"/>
    <cellStyle name="Separador de milhares 6 4 4 2 2" xfId="2794" xr:uid="{00000000-0005-0000-0000-000087110000}"/>
    <cellStyle name="Separador de milhares 6 4 4 2 2 2" xfId="5490" xr:uid="{00000000-0005-0000-0000-000088110000}"/>
    <cellStyle name="Separador de milhares 6 4 4 2 3" xfId="4247" xr:uid="{00000000-0005-0000-0000-000089110000}"/>
    <cellStyle name="Separador de milhares 6 4 4 3" xfId="2294" xr:uid="{00000000-0005-0000-0000-00008A110000}"/>
    <cellStyle name="Separador de milhares 6 4 4 3 2" xfId="4990" xr:uid="{00000000-0005-0000-0000-00008B110000}"/>
    <cellStyle name="Separador de milhares 6 4 4 4" xfId="3481" xr:uid="{00000000-0005-0000-0000-00008C110000}"/>
    <cellStyle name="Separador de milhares 6 4 5" xfId="1215" xr:uid="{00000000-0005-0000-0000-00008D110000}"/>
    <cellStyle name="Separador de milhares 6 4 5 2" xfId="2544" xr:uid="{00000000-0005-0000-0000-00008E110000}"/>
    <cellStyle name="Separador de milhares 6 4 5 2 2" xfId="5240" xr:uid="{00000000-0005-0000-0000-00008F110000}"/>
    <cellStyle name="Separador de milhares 6 4 5 3" xfId="3911" xr:uid="{00000000-0005-0000-0000-000090110000}"/>
    <cellStyle name="Separador de milhares 6 4 6" xfId="2045" xr:uid="{00000000-0005-0000-0000-000091110000}"/>
    <cellStyle name="Separador de milhares 6 4 6 2" xfId="4741" xr:uid="{00000000-0005-0000-0000-000092110000}"/>
    <cellStyle name="Separador de milhares 6 4 7" xfId="3145" xr:uid="{00000000-0005-0000-0000-000093110000}"/>
    <cellStyle name="Separador de milhares 6 5" xfId="1972" xr:uid="{00000000-0005-0000-0000-000094110000}"/>
    <cellStyle name="Separador de milhares 6 5 2" xfId="4668" xr:uid="{00000000-0005-0000-0000-000095110000}"/>
    <cellStyle name="Separador de milhares 6 6" xfId="3063" xr:uid="{00000000-0005-0000-0000-000096110000}"/>
    <cellStyle name="Separador de milhares 7" xfId="416" xr:uid="{00000000-0005-0000-0000-000097110000}"/>
    <cellStyle name="Separador de milhares 7 2" xfId="175" xr:uid="{00000000-0005-0000-0000-000098110000}"/>
    <cellStyle name="Separador de milhares 7 3" xfId="2028" xr:uid="{00000000-0005-0000-0000-000099110000}"/>
    <cellStyle name="Separador de milhares 7 3 2" xfId="4724" xr:uid="{00000000-0005-0000-0000-00009A110000}"/>
    <cellStyle name="Separador de milhares 7 4" xfId="3127" xr:uid="{00000000-0005-0000-0000-00009B110000}"/>
    <cellStyle name="Separador de milhares 8" xfId="417" xr:uid="{00000000-0005-0000-0000-00009C110000}"/>
    <cellStyle name="Separador de milhares 8 2" xfId="418" xr:uid="{00000000-0005-0000-0000-00009D110000}"/>
    <cellStyle name="Separador de milhares 8 2 2" xfId="485" xr:uid="{00000000-0005-0000-0000-00009E110000}"/>
    <cellStyle name="Separador de milhares 8 2 2 2" xfId="550" xr:uid="{00000000-0005-0000-0000-00009F110000}"/>
    <cellStyle name="Separador de milhares 8 2 2 2 2" xfId="724" xr:uid="{00000000-0005-0000-0000-0000A0110000}"/>
    <cellStyle name="Separador de milhares 8 2 2 2 2 2" xfId="1061" xr:uid="{00000000-0005-0000-0000-0000A1110000}"/>
    <cellStyle name="Separador de milhares 8 2 2 2 2 2 2" xfId="1828" xr:uid="{00000000-0005-0000-0000-0000A2110000}"/>
    <cellStyle name="Separador de milhares 8 2 2 2 2 2 2 2" xfId="3021" xr:uid="{00000000-0005-0000-0000-0000A3110000}"/>
    <cellStyle name="Separador de milhares 8 2 2 2 2 2 2 2 2" xfId="5717" xr:uid="{00000000-0005-0000-0000-0000A4110000}"/>
    <cellStyle name="Separador de milhares 8 2 2 2 2 2 2 3" xfId="4524" xr:uid="{00000000-0005-0000-0000-0000A5110000}"/>
    <cellStyle name="Separador de milhares 8 2 2 2 2 2 3" xfId="2521" xr:uid="{00000000-0005-0000-0000-0000A6110000}"/>
    <cellStyle name="Separador de milhares 8 2 2 2 2 2 3 2" xfId="5217" xr:uid="{00000000-0005-0000-0000-0000A7110000}"/>
    <cellStyle name="Separador de milhares 8 2 2 2 2 2 4" xfId="3758" xr:uid="{00000000-0005-0000-0000-0000A8110000}"/>
    <cellStyle name="Separador de milhares 8 2 2 2 2 3" xfId="1491" xr:uid="{00000000-0005-0000-0000-0000A9110000}"/>
    <cellStyle name="Separador de milhares 8 2 2 2 2 3 2" xfId="2771" xr:uid="{00000000-0005-0000-0000-0000AA110000}"/>
    <cellStyle name="Separador de milhares 8 2 2 2 2 3 2 2" xfId="5467" xr:uid="{00000000-0005-0000-0000-0000AB110000}"/>
    <cellStyle name="Separador de milhares 8 2 2 2 2 3 3" xfId="4187" xr:uid="{00000000-0005-0000-0000-0000AC110000}"/>
    <cellStyle name="Separador de milhares 8 2 2 2 2 4" xfId="2271" xr:uid="{00000000-0005-0000-0000-0000AD110000}"/>
    <cellStyle name="Separador de milhares 8 2 2 2 2 4 2" xfId="4967" xr:uid="{00000000-0005-0000-0000-0000AE110000}"/>
    <cellStyle name="Separador de milhares 8 2 2 2 2 5" xfId="3421" xr:uid="{00000000-0005-0000-0000-0000AF110000}"/>
    <cellStyle name="Separador de milhares 8 2 2 2 3" xfId="888" xr:uid="{00000000-0005-0000-0000-0000B0110000}"/>
    <cellStyle name="Separador de milhares 8 2 2 2 3 2" xfId="1655" xr:uid="{00000000-0005-0000-0000-0000B1110000}"/>
    <cellStyle name="Separador de milhares 8 2 2 2 3 2 2" xfId="2896" xr:uid="{00000000-0005-0000-0000-0000B2110000}"/>
    <cellStyle name="Separador de milhares 8 2 2 2 3 2 2 2" xfId="5592" xr:uid="{00000000-0005-0000-0000-0000B3110000}"/>
    <cellStyle name="Separador de milhares 8 2 2 2 3 2 3" xfId="4351" xr:uid="{00000000-0005-0000-0000-0000B4110000}"/>
    <cellStyle name="Separador de milhares 8 2 2 2 3 3" xfId="2396" xr:uid="{00000000-0005-0000-0000-0000B5110000}"/>
    <cellStyle name="Separador de milhares 8 2 2 2 3 3 2" xfId="5092" xr:uid="{00000000-0005-0000-0000-0000B6110000}"/>
    <cellStyle name="Separador de milhares 8 2 2 2 3 4" xfId="3585" xr:uid="{00000000-0005-0000-0000-0000B7110000}"/>
    <cellStyle name="Separador de milhares 8 2 2 2 4" xfId="1318" xr:uid="{00000000-0005-0000-0000-0000B8110000}"/>
    <cellStyle name="Separador de milhares 8 2 2 2 4 2" xfId="2646" xr:uid="{00000000-0005-0000-0000-0000B9110000}"/>
    <cellStyle name="Separador de milhares 8 2 2 2 4 2 2" xfId="5342" xr:uid="{00000000-0005-0000-0000-0000BA110000}"/>
    <cellStyle name="Separador de milhares 8 2 2 2 4 3" xfId="4014" xr:uid="{00000000-0005-0000-0000-0000BB110000}"/>
    <cellStyle name="Separador de milhares 8 2 2 2 5" xfId="2146" xr:uid="{00000000-0005-0000-0000-0000BC110000}"/>
    <cellStyle name="Separador de milhares 8 2 2 2 5 2" xfId="4842" xr:uid="{00000000-0005-0000-0000-0000BD110000}"/>
    <cellStyle name="Separador de milhares 8 2 2 2 6" xfId="3248" xr:uid="{00000000-0005-0000-0000-0000BE110000}"/>
    <cellStyle name="Separador de milhares 8 2 2 3" xfId="661" xr:uid="{00000000-0005-0000-0000-0000BF110000}"/>
    <cellStyle name="Separador de milhares 8 2 2 3 2" xfId="998" xr:uid="{00000000-0005-0000-0000-0000C0110000}"/>
    <cellStyle name="Separador de milhares 8 2 2 3 2 2" xfId="1765" xr:uid="{00000000-0005-0000-0000-0000C1110000}"/>
    <cellStyle name="Separador de milhares 8 2 2 3 2 2 2" xfId="2959" xr:uid="{00000000-0005-0000-0000-0000C2110000}"/>
    <cellStyle name="Separador de milhares 8 2 2 3 2 2 2 2" xfId="5655" xr:uid="{00000000-0005-0000-0000-0000C3110000}"/>
    <cellStyle name="Separador de milhares 8 2 2 3 2 2 3" xfId="4461" xr:uid="{00000000-0005-0000-0000-0000C4110000}"/>
    <cellStyle name="Separador de milhares 8 2 2 3 2 3" xfId="2459" xr:uid="{00000000-0005-0000-0000-0000C5110000}"/>
    <cellStyle name="Separador de milhares 8 2 2 3 2 3 2" xfId="5155" xr:uid="{00000000-0005-0000-0000-0000C6110000}"/>
    <cellStyle name="Separador de milhares 8 2 2 3 2 4" xfId="3695" xr:uid="{00000000-0005-0000-0000-0000C7110000}"/>
    <cellStyle name="Separador de milhares 8 2 2 3 3" xfId="1428" xr:uid="{00000000-0005-0000-0000-0000C8110000}"/>
    <cellStyle name="Separador de milhares 8 2 2 3 3 2" xfId="2709" xr:uid="{00000000-0005-0000-0000-0000C9110000}"/>
    <cellStyle name="Separador de milhares 8 2 2 3 3 2 2" xfId="5405" xr:uid="{00000000-0005-0000-0000-0000CA110000}"/>
    <cellStyle name="Separador de milhares 8 2 2 3 3 3" xfId="4124" xr:uid="{00000000-0005-0000-0000-0000CB110000}"/>
    <cellStyle name="Separador de milhares 8 2 2 3 4" xfId="2209" xr:uid="{00000000-0005-0000-0000-0000CC110000}"/>
    <cellStyle name="Separador de milhares 8 2 2 3 4 2" xfId="4905" xr:uid="{00000000-0005-0000-0000-0000CD110000}"/>
    <cellStyle name="Separador de milhares 8 2 2 3 5" xfId="3358" xr:uid="{00000000-0005-0000-0000-0000CE110000}"/>
    <cellStyle name="Separador de milhares 8 2 2 4" xfId="824" xr:uid="{00000000-0005-0000-0000-0000CF110000}"/>
    <cellStyle name="Separador de milhares 8 2 2 4 2" xfId="1591" xr:uid="{00000000-0005-0000-0000-0000D0110000}"/>
    <cellStyle name="Separador de milhares 8 2 2 4 2 2" xfId="2834" xr:uid="{00000000-0005-0000-0000-0000D1110000}"/>
    <cellStyle name="Separador de milhares 8 2 2 4 2 2 2" xfId="5530" xr:uid="{00000000-0005-0000-0000-0000D2110000}"/>
    <cellStyle name="Separador de milhares 8 2 2 4 2 3" xfId="4287" xr:uid="{00000000-0005-0000-0000-0000D3110000}"/>
    <cellStyle name="Separador de milhares 8 2 2 4 3" xfId="2334" xr:uid="{00000000-0005-0000-0000-0000D4110000}"/>
    <cellStyle name="Separador de milhares 8 2 2 4 3 2" xfId="5030" xr:uid="{00000000-0005-0000-0000-0000D5110000}"/>
    <cellStyle name="Separador de milhares 8 2 2 4 4" xfId="3521" xr:uid="{00000000-0005-0000-0000-0000D6110000}"/>
    <cellStyle name="Separador de milhares 8 2 2 5" xfId="1255" xr:uid="{00000000-0005-0000-0000-0000D7110000}"/>
    <cellStyle name="Separador de milhares 8 2 2 5 2" xfId="2584" xr:uid="{00000000-0005-0000-0000-0000D8110000}"/>
    <cellStyle name="Separador de milhares 8 2 2 5 2 2" xfId="5280" xr:uid="{00000000-0005-0000-0000-0000D9110000}"/>
    <cellStyle name="Separador de milhares 8 2 2 5 3" xfId="3951" xr:uid="{00000000-0005-0000-0000-0000DA110000}"/>
    <cellStyle name="Separador de milhares 8 2 2 6" xfId="2084" xr:uid="{00000000-0005-0000-0000-0000DB110000}"/>
    <cellStyle name="Separador de milhares 8 2 2 6 2" xfId="4780" xr:uid="{00000000-0005-0000-0000-0000DC110000}"/>
    <cellStyle name="Separador de milhares 8 2 2 7" xfId="3184" xr:uid="{00000000-0005-0000-0000-0000DD110000}"/>
    <cellStyle name="Separador de milhares 8 2 3" xfId="2030" xr:uid="{00000000-0005-0000-0000-0000DE110000}"/>
    <cellStyle name="Separador de milhares 8 2 3 2" xfId="4726" xr:uid="{00000000-0005-0000-0000-0000DF110000}"/>
    <cellStyle name="Separador de milhares 8 2 4" xfId="3129" xr:uid="{00000000-0005-0000-0000-0000E0110000}"/>
    <cellStyle name="Separador de milhares 8 3" xfId="419" xr:uid="{00000000-0005-0000-0000-0000E1110000}"/>
    <cellStyle name="Separador de milhares 8 3 2" xfId="486" xr:uid="{00000000-0005-0000-0000-0000E2110000}"/>
    <cellStyle name="Separador de milhares 8 3 2 2" xfId="551" xr:uid="{00000000-0005-0000-0000-0000E3110000}"/>
    <cellStyle name="Separador de milhares 8 3 2 2 2" xfId="725" xr:uid="{00000000-0005-0000-0000-0000E4110000}"/>
    <cellStyle name="Separador de milhares 8 3 2 2 2 2" xfId="1062" xr:uid="{00000000-0005-0000-0000-0000E5110000}"/>
    <cellStyle name="Separador de milhares 8 3 2 2 2 2 2" xfId="1829" xr:uid="{00000000-0005-0000-0000-0000E6110000}"/>
    <cellStyle name="Separador de milhares 8 3 2 2 2 2 2 2" xfId="3022" xr:uid="{00000000-0005-0000-0000-0000E7110000}"/>
    <cellStyle name="Separador de milhares 8 3 2 2 2 2 2 2 2" xfId="5718" xr:uid="{00000000-0005-0000-0000-0000E8110000}"/>
    <cellStyle name="Separador de milhares 8 3 2 2 2 2 2 3" xfId="4525" xr:uid="{00000000-0005-0000-0000-0000E9110000}"/>
    <cellStyle name="Separador de milhares 8 3 2 2 2 2 3" xfId="2522" xr:uid="{00000000-0005-0000-0000-0000EA110000}"/>
    <cellStyle name="Separador de milhares 8 3 2 2 2 2 3 2" xfId="5218" xr:uid="{00000000-0005-0000-0000-0000EB110000}"/>
    <cellStyle name="Separador de milhares 8 3 2 2 2 2 4" xfId="3759" xr:uid="{00000000-0005-0000-0000-0000EC110000}"/>
    <cellStyle name="Separador de milhares 8 3 2 2 2 3" xfId="1492" xr:uid="{00000000-0005-0000-0000-0000ED110000}"/>
    <cellStyle name="Separador de milhares 8 3 2 2 2 3 2" xfId="2772" xr:uid="{00000000-0005-0000-0000-0000EE110000}"/>
    <cellStyle name="Separador de milhares 8 3 2 2 2 3 2 2" xfId="5468" xr:uid="{00000000-0005-0000-0000-0000EF110000}"/>
    <cellStyle name="Separador de milhares 8 3 2 2 2 3 3" xfId="4188" xr:uid="{00000000-0005-0000-0000-0000F0110000}"/>
    <cellStyle name="Separador de milhares 8 3 2 2 2 4" xfId="2272" xr:uid="{00000000-0005-0000-0000-0000F1110000}"/>
    <cellStyle name="Separador de milhares 8 3 2 2 2 4 2" xfId="4968" xr:uid="{00000000-0005-0000-0000-0000F2110000}"/>
    <cellStyle name="Separador de milhares 8 3 2 2 2 5" xfId="3422" xr:uid="{00000000-0005-0000-0000-0000F3110000}"/>
    <cellStyle name="Separador de milhares 8 3 2 2 3" xfId="889" xr:uid="{00000000-0005-0000-0000-0000F4110000}"/>
    <cellStyle name="Separador de milhares 8 3 2 2 3 2" xfId="1656" xr:uid="{00000000-0005-0000-0000-0000F5110000}"/>
    <cellStyle name="Separador de milhares 8 3 2 2 3 2 2" xfId="2897" xr:uid="{00000000-0005-0000-0000-0000F6110000}"/>
    <cellStyle name="Separador de milhares 8 3 2 2 3 2 2 2" xfId="5593" xr:uid="{00000000-0005-0000-0000-0000F7110000}"/>
    <cellStyle name="Separador de milhares 8 3 2 2 3 2 3" xfId="4352" xr:uid="{00000000-0005-0000-0000-0000F8110000}"/>
    <cellStyle name="Separador de milhares 8 3 2 2 3 3" xfId="2397" xr:uid="{00000000-0005-0000-0000-0000F9110000}"/>
    <cellStyle name="Separador de milhares 8 3 2 2 3 3 2" xfId="5093" xr:uid="{00000000-0005-0000-0000-0000FA110000}"/>
    <cellStyle name="Separador de milhares 8 3 2 2 3 4" xfId="3586" xr:uid="{00000000-0005-0000-0000-0000FB110000}"/>
    <cellStyle name="Separador de milhares 8 3 2 2 4" xfId="1319" xr:uid="{00000000-0005-0000-0000-0000FC110000}"/>
    <cellStyle name="Separador de milhares 8 3 2 2 4 2" xfId="2647" xr:uid="{00000000-0005-0000-0000-0000FD110000}"/>
    <cellStyle name="Separador de milhares 8 3 2 2 4 2 2" xfId="5343" xr:uid="{00000000-0005-0000-0000-0000FE110000}"/>
    <cellStyle name="Separador de milhares 8 3 2 2 4 3" xfId="4015" xr:uid="{00000000-0005-0000-0000-0000FF110000}"/>
    <cellStyle name="Separador de milhares 8 3 2 2 5" xfId="2147" xr:uid="{00000000-0005-0000-0000-000000120000}"/>
    <cellStyle name="Separador de milhares 8 3 2 2 5 2" xfId="4843" xr:uid="{00000000-0005-0000-0000-000001120000}"/>
    <cellStyle name="Separador de milhares 8 3 2 2 6" xfId="3249" xr:uid="{00000000-0005-0000-0000-000002120000}"/>
    <cellStyle name="Separador de milhares 8 3 2 3" xfId="662" xr:uid="{00000000-0005-0000-0000-000003120000}"/>
    <cellStyle name="Separador de milhares 8 3 2 3 2" xfId="999" xr:uid="{00000000-0005-0000-0000-000004120000}"/>
    <cellStyle name="Separador de milhares 8 3 2 3 2 2" xfId="1766" xr:uid="{00000000-0005-0000-0000-000005120000}"/>
    <cellStyle name="Separador de milhares 8 3 2 3 2 2 2" xfId="2960" xr:uid="{00000000-0005-0000-0000-000006120000}"/>
    <cellStyle name="Separador de milhares 8 3 2 3 2 2 2 2" xfId="5656" xr:uid="{00000000-0005-0000-0000-000007120000}"/>
    <cellStyle name="Separador de milhares 8 3 2 3 2 2 3" xfId="4462" xr:uid="{00000000-0005-0000-0000-000008120000}"/>
    <cellStyle name="Separador de milhares 8 3 2 3 2 3" xfId="2460" xr:uid="{00000000-0005-0000-0000-000009120000}"/>
    <cellStyle name="Separador de milhares 8 3 2 3 2 3 2" xfId="5156" xr:uid="{00000000-0005-0000-0000-00000A120000}"/>
    <cellStyle name="Separador de milhares 8 3 2 3 2 4" xfId="3696" xr:uid="{00000000-0005-0000-0000-00000B120000}"/>
    <cellStyle name="Separador de milhares 8 3 2 3 3" xfId="1429" xr:uid="{00000000-0005-0000-0000-00000C120000}"/>
    <cellStyle name="Separador de milhares 8 3 2 3 3 2" xfId="2710" xr:uid="{00000000-0005-0000-0000-00000D120000}"/>
    <cellStyle name="Separador de milhares 8 3 2 3 3 2 2" xfId="5406" xr:uid="{00000000-0005-0000-0000-00000E120000}"/>
    <cellStyle name="Separador de milhares 8 3 2 3 3 3" xfId="4125" xr:uid="{00000000-0005-0000-0000-00000F120000}"/>
    <cellStyle name="Separador de milhares 8 3 2 3 4" xfId="2210" xr:uid="{00000000-0005-0000-0000-000010120000}"/>
    <cellStyle name="Separador de milhares 8 3 2 3 4 2" xfId="4906" xr:uid="{00000000-0005-0000-0000-000011120000}"/>
    <cellStyle name="Separador de milhares 8 3 2 3 5" xfId="3359" xr:uid="{00000000-0005-0000-0000-000012120000}"/>
    <cellStyle name="Separador de milhares 8 3 2 4" xfId="825" xr:uid="{00000000-0005-0000-0000-000013120000}"/>
    <cellStyle name="Separador de milhares 8 3 2 4 2" xfId="1592" xr:uid="{00000000-0005-0000-0000-000014120000}"/>
    <cellStyle name="Separador de milhares 8 3 2 4 2 2" xfId="2835" xr:uid="{00000000-0005-0000-0000-000015120000}"/>
    <cellStyle name="Separador de milhares 8 3 2 4 2 2 2" xfId="5531" xr:uid="{00000000-0005-0000-0000-000016120000}"/>
    <cellStyle name="Separador de milhares 8 3 2 4 2 3" xfId="4288" xr:uid="{00000000-0005-0000-0000-000017120000}"/>
    <cellStyle name="Separador de milhares 8 3 2 4 3" xfId="2335" xr:uid="{00000000-0005-0000-0000-000018120000}"/>
    <cellStyle name="Separador de milhares 8 3 2 4 3 2" xfId="5031" xr:uid="{00000000-0005-0000-0000-000019120000}"/>
    <cellStyle name="Separador de milhares 8 3 2 4 4" xfId="3522" xr:uid="{00000000-0005-0000-0000-00001A120000}"/>
    <cellStyle name="Separador de milhares 8 3 2 5" xfId="1256" xr:uid="{00000000-0005-0000-0000-00001B120000}"/>
    <cellStyle name="Separador de milhares 8 3 2 5 2" xfId="2585" xr:uid="{00000000-0005-0000-0000-00001C120000}"/>
    <cellStyle name="Separador de milhares 8 3 2 5 2 2" xfId="5281" xr:uid="{00000000-0005-0000-0000-00001D120000}"/>
    <cellStyle name="Separador de milhares 8 3 2 5 3" xfId="3952" xr:uid="{00000000-0005-0000-0000-00001E120000}"/>
    <cellStyle name="Separador de milhares 8 3 2 6" xfId="2085" xr:uid="{00000000-0005-0000-0000-00001F120000}"/>
    <cellStyle name="Separador de milhares 8 3 2 6 2" xfId="4781" xr:uid="{00000000-0005-0000-0000-000020120000}"/>
    <cellStyle name="Separador de milhares 8 3 2 7" xfId="3185" xr:uid="{00000000-0005-0000-0000-000021120000}"/>
    <cellStyle name="Separador de milhares 8 3 3" xfId="2031" xr:uid="{00000000-0005-0000-0000-000022120000}"/>
    <cellStyle name="Separador de milhares 8 3 3 2" xfId="4727" xr:uid="{00000000-0005-0000-0000-000023120000}"/>
    <cellStyle name="Separador de milhares 8 3 4" xfId="3130" xr:uid="{00000000-0005-0000-0000-000024120000}"/>
    <cellStyle name="Separador de milhares 8 4" xfId="484" xr:uid="{00000000-0005-0000-0000-000025120000}"/>
    <cellStyle name="Separador de milhares 8 4 2" xfId="549" xr:uid="{00000000-0005-0000-0000-000026120000}"/>
    <cellStyle name="Separador de milhares 8 4 2 2" xfId="723" xr:uid="{00000000-0005-0000-0000-000027120000}"/>
    <cellStyle name="Separador de milhares 8 4 2 2 2" xfId="1060" xr:uid="{00000000-0005-0000-0000-000028120000}"/>
    <cellStyle name="Separador de milhares 8 4 2 2 2 2" xfId="1827" xr:uid="{00000000-0005-0000-0000-000029120000}"/>
    <cellStyle name="Separador de milhares 8 4 2 2 2 2 2" xfId="3020" xr:uid="{00000000-0005-0000-0000-00002A120000}"/>
    <cellStyle name="Separador de milhares 8 4 2 2 2 2 2 2" xfId="5716" xr:uid="{00000000-0005-0000-0000-00002B120000}"/>
    <cellStyle name="Separador de milhares 8 4 2 2 2 2 3" xfId="4523" xr:uid="{00000000-0005-0000-0000-00002C120000}"/>
    <cellStyle name="Separador de milhares 8 4 2 2 2 3" xfId="2520" xr:uid="{00000000-0005-0000-0000-00002D120000}"/>
    <cellStyle name="Separador de milhares 8 4 2 2 2 3 2" xfId="5216" xr:uid="{00000000-0005-0000-0000-00002E120000}"/>
    <cellStyle name="Separador de milhares 8 4 2 2 2 4" xfId="3757" xr:uid="{00000000-0005-0000-0000-00002F120000}"/>
    <cellStyle name="Separador de milhares 8 4 2 2 3" xfId="1490" xr:uid="{00000000-0005-0000-0000-000030120000}"/>
    <cellStyle name="Separador de milhares 8 4 2 2 3 2" xfId="2770" xr:uid="{00000000-0005-0000-0000-000031120000}"/>
    <cellStyle name="Separador de milhares 8 4 2 2 3 2 2" xfId="5466" xr:uid="{00000000-0005-0000-0000-000032120000}"/>
    <cellStyle name="Separador de milhares 8 4 2 2 3 3" xfId="4186" xr:uid="{00000000-0005-0000-0000-000033120000}"/>
    <cellStyle name="Separador de milhares 8 4 2 2 4" xfId="2270" xr:uid="{00000000-0005-0000-0000-000034120000}"/>
    <cellStyle name="Separador de milhares 8 4 2 2 4 2" xfId="4966" xr:uid="{00000000-0005-0000-0000-000035120000}"/>
    <cellStyle name="Separador de milhares 8 4 2 2 5" xfId="3420" xr:uid="{00000000-0005-0000-0000-000036120000}"/>
    <cellStyle name="Separador de milhares 8 4 2 3" xfId="887" xr:uid="{00000000-0005-0000-0000-000037120000}"/>
    <cellStyle name="Separador de milhares 8 4 2 3 2" xfId="1654" xr:uid="{00000000-0005-0000-0000-000038120000}"/>
    <cellStyle name="Separador de milhares 8 4 2 3 2 2" xfId="2895" xr:uid="{00000000-0005-0000-0000-000039120000}"/>
    <cellStyle name="Separador de milhares 8 4 2 3 2 2 2" xfId="5591" xr:uid="{00000000-0005-0000-0000-00003A120000}"/>
    <cellStyle name="Separador de milhares 8 4 2 3 2 3" xfId="4350" xr:uid="{00000000-0005-0000-0000-00003B120000}"/>
    <cellStyle name="Separador de milhares 8 4 2 3 3" xfId="2395" xr:uid="{00000000-0005-0000-0000-00003C120000}"/>
    <cellStyle name="Separador de milhares 8 4 2 3 3 2" xfId="5091" xr:uid="{00000000-0005-0000-0000-00003D120000}"/>
    <cellStyle name="Separador de milhares 8 4 2 3 4" xfId="3584" xr:uid="{00000000-0005-0000-0000-00003E120000}"/>
    <cellStyle name="Separador de milhares 8 4 2 4" xfId="1317" xr:uid="{00000000-0005-0000-0000-00003F120000}"/>
    <cellStyle name="Separador de milhares 8 4 2 4 2" xfId="2645" xr:uid="{00000000-0005-0000-0000-000040120000}"/>
    <cellStyle name="Separador de milhares 8 4 2 4 2 2" xfId="5341" xr:uid="{00000000-0005-0000-0000-000041120000}"/>
    <cellStyle name="Separador de milhares 8 4 2 4 3" xfId="4013" xr:uid="{00000000-0005-0000-0000-000042120000}"/>
    <cellStyle name="Separador de milhares 8 4 2 5" xfId="2145" xr:uid="{00000000-0005-0000-0000-000043120000}"/>
    <cellStyle name="Separador de milhares 8 4 2 5 2" xfId="4841" xr:uid="{00000000-0005-0000-0000-000044120000}"/>
    <cellStyle name="Separador de milhares 8 4 2 6" xfId="3247" xr:uid="{00000000-0005-0000-0000-000045120000}"/>
    <cellStyle name="Separador de milhares 8 4 3" xfId="660" xr:uid="{00000000-0005-0000-0000-000046120000}"/>
    <cellStyle name="Separador de milhares 8 4 3 2" xfId="997" xr:uid="{00000000-0005-0000-0000-000047120000}"/>
    <cellStyle name="Separador de milhares 8 4 3 2 2" xfId="1764" xr:uid="{00000000-0005-0000-0000-000048120000}"/>
    <cellStyle name="Separador de milhares 8 4 3 2 2 2" xfId="2958" xr:uid="{00000000-0005-0000-0000-000049120000}"/>
    <cellStyle name="Separador de milhares 8 4 3 2 2 2 2" xfId="5654" xr:uid="{00000000-0005-0000-0000-00004A120000}"/>
    <cellStyle name="Separador de milhares 8 4 3 2 2 3" xfId="4460" xr:uid="{00000000-0005-0000-0000-00004B120000}"/>
    <cellStyle name="Separador de milhares 8 4 3 2 3" xfId="2458" xr:uid="{00000000-0005-0000-0000-00004C120000}"/>
    <cellStyle name="Separador de milhares 8 4 3 2 3 2" xfId="5154" xr:uid="{00000000-0005-0000-0000-00004D120000}"/>
    <cellStyle name="Separador de milhares 8 4 3 2 4" xfId="3694" xr:uid="{00000000-0005-0000-0000-00004E120000}"/>
    <cellStyle name="Separador de milhares 8 4 3 3" xfId="1427" xr:uid="{00000000-0005-0000-0000-00004F120000}"/>
    <cellStyle name="Separador de milhares 8 4 3 3 2" xfId="2708" xr:uid="{00000000-0005-0000-0000-000050120000}"/>
    <cellStyle name="Separador de milhares 8 4 3 3 2 2" xfId="5404" xr:uid="{00000000-0005-0000-0000-000051120000}"/>
    <cellStyle name="Separador de milhares 8 4 3 3 3" xfId="4123" xr:uid="{00000000-0005-0000-0000-000052120000}"/>
    <cellStyle name="Separador de milhares 8 4 3 4" xfId="2208" xr:uid="{00000000-0005-0000-0000-000053120000}"/>
    <cellStyle name="Separador de milhares 8 4 3 4 2" xfId="4904" xr:uid="{00000000-0005-0000-0000-000054120000}"/>
    <cellStyle name="Separador de milhares 8 4 3 5" xfId="3357" xr:uid="{00000000-0005-0000-0000-000055120000}"/>
    <cellStyle name="Separador de milhares 8 4 4" xfId="823" xr:uid="{00000000-0005-0000-0000-000056120000}"/>
    <cellStyle name="Separador de milhares 8 4 4 2" xfId="1590" xr:uid="{00000000-0005-0000-0000-000057120000}"/>
    <cellStyle name="Separador de milhares 8 4 4 2 2" xfId="2833" xr:uid="{00000000-0005-0000-0000-000058120000}"/>
    <cellStyle name="Separador de milhares 8 4 4 2 2 2" xfId="5529" xr:uid="{00000000-0005-0000-0000-000059120000}"/>
    <cellStyle name="Separador de milhares 8 4 4 2 3" xfId="4286" xr:uid="{00000000-0005-0000-0000-00005A120000}"/>
    <cellStyle name="Separador de milhares 8 4 4 3" xfId="2333" xr:uid="{00000000-0005-0000-0000-00005B120000}"/>
    <cellStyle name="Separador de milhares 8 4 4 3 2" xfId="5029" xr:uid="{00000000-0005-0000-0000-00005C120000}"/>
    <cellStyle name="Separador de milhares 8 4 4 4" xfId="3520" xr:uid="{00000000-0005-0000-0000-00005D120000}"/>
    <cellStyle name="Separador de milhares 8 4 5" xfId="1254" xr:uid="{00000000-0005-0000-0000-00005E120000}"/>
    <cellStyle name="Separador de milhares 8 4 5 2" xfId="2583" xr:uid="{00000000-0005-0000-0000-00005F120000}"/>
    <cellStyle name="Separador de milhares 8 4 5 2 2" xfId="5279" xr:uid="{00000000-0005-0000-0000-000060120000}"/>
    <cellStyle name="Separador de milhares 8 4 5 3" xfId="3950" xr:uid="{00000000-0005-0000-0000-000061120000}"/>
    <cellStyle name="Separador de milhares 8 4 6" xfId="2083" xr:uid="{00000000-0005-0000-0000-000062120000}"/>
    <cellStyle name="Separador de milhares 8 4 6 2" xfId="4779" xr:uid="{00000000-0005-0000-0000-000063120000}"/>
    <cellStyle name="Separador de milhares 8 4 7" xfId="3183" xr:uid="{00000000-0005-0000-0000-000064120000}"/>
    <cellStyle name="Separador de milhares 8 5" xfId="2029" xr:uid="{00000000-0005-0000-0000-000065120000}"/>
    <cellStyle name="Separador de milhares 8 5 2" xfId="4725" xr:uid="{00000000-0005-0000-0000-000066120000}"/>
    <cellStyle name="Separador de milhares 8 6" xfId="3128" xr:uid="{00000000-0005-0000-0000-000067120000}"/>
    <cellStyle name="Separador de milhares 9" xfId="420" xr:uid="{00000000-0005-0000-0000-000068120000}"/>
    <cellStyle name="Separador de milhares 9 2" xfId="421" xr:uid="{00000000-0005-0000-0000-000069120000}"/>
    <cellStyle name="Separador de milhares 9 2 2" xfId="487" xr:uid="{00000000-0005-0000-0000-00006A120000}"/>
    <cellStyle name="Separador de milhares 9 2 2 2" xfId="552" xr:uid="{00000000-0005-0000-0000-00006B120000}"/>
    <cellStyle name="Separador de milhares 9 2 2 2 2" xfId="726" xr:uid="{00000000-0005-0000-0000-00006C120000}"/>
    <cellStyle name="Separador de milhares 9 2 2 2 2 2" xfId="1063" xr:uid="{00000000-0005-0000-0000-00006D120000}"/>
    <cellStyle name="Separador de milhares 9 2 2 2 2 2 2" xfId="1830" xr:uid="{00000000-0005-0000-0000-00006E120000}"/>
    <cellStyle name="Separador de milhares 9 2 2 2 2 2 2 2" xfId="3023" xr:uid="{00000000-0005-0000-0000-00006F120000}"/>
    <cellStyle name="Separador de milhares 9 2 2 2 2 2 2 2 2" xfId="5719" xr:uid="{00000000-0005-0000-0000-000070120000}"/>
    <cellStyle name="Separador de milhares 9 2 2 2 2 2 2 3" xfId="4526" xr:uid="{00000000-0005-0000-0000-000071120000}"/>
    <cellStyle name="Separador de milhares 9 2 2 2 2 2 3" xfId="2523" xr:uid="{00000000-0005-0000-0000-000072120000}"/>
    <cellStyle name="Separador de milhares 9 2 2 2 2 2 3 2" xfId="5219" xr:uid="{00000000-0005-0000-0000-000073120000}"/>
    <cellStyle name="Separador de milhares 9 2 2 2 2 2 4" xfId="3760" xr:uid="{00000000-0005-0000-0000-000074120000}"/>
    <cellStyle name="Separador de milhares 9 2 2 2 2 3" xfId="1493" xr:uid="{00000000-0005-0000-0000-000075120000}"/>
    <cellStyle name="Separador de milhares 9 2 2 2 2 3 2" xfId="2773" xr:uid="{00000000-0005-0000-0000-000076120000}"/>
    <cellStyle name="Separador de milhares 9 2 2 2 2 3 2 2" xfId="5469" xr:uid="{00000000-0005-0000-0000-000077120000}"/>
    <cellStyle name="Separador de milhares 9 2 2 2 2 3 3" xfId="4189" xr:uid="{00000000-0005-0000-0000-000078120000}"/>
    <cellStyle name="Separador de milhares 9 2 2 2 2 4" xfId="2273" xr:uid="{00000000-0005-0000-0000-000079120000}"/>
    <cellStyle name="Separador de milhares 9 2 2 2 2 4 2" xfId="4969" xr:uid="{00000000-0005-0000-0000-00007A120000}"/>
    <cellStyle name="Separador de milhares 9 2 2 2 2 5" xfId="3423" xr:uid="{00000000-0005-0000-0000-00007B120000}"/>
    <cellStyle name="Separador de milhares 9 2 2 2 3" xfId="890" xr:uid="{00000000-0005-0000-0000-00007C120000}"/>
    <cellStyle name="Separador de milhares 9 2 2 2 3 2" xfId="1657" xr:uid="{00000000-0005-0000-0000-00007D120000}"/>
    <cellStyle name="Separador de milhares 9 2 2 2 3 2 2" xfId="2898" xr:uid="{00000000-0005-0000-0000-00007E120000}"/>
    <cellStyle name="Separador de milhares 9 2 2 2 3 2 2 2" xfId="5594" xr:uid="{00000000-0005-0000-0000-00007F120000}"/>
    <cellStyle name="Separador de milhares 9 2 2 2 3 2 3" xfId="4353" xr:uid="{00000000-0005-0000-0000-000080120000}"/>
    <cellStyle name="Separador de milhares 9 2 2 2 3 3" xfId="2398" xr:uid="{00000000-0005-0000-0000-000081120000}"/>
    <cellStyle name="Separador de milhares 9 2 2 2 3 3 2" xfId="5094" xr:uid="{00000000-0005-0000-0000-000082120000}"/>
    <cellStyle name="Separador de milhares 9 2 2 2 3 4" xfId="3587" xr:uid="{00000000-0005-0000-0000-000083120000}"/>
    <cellStyle name="Separador de milhares 9 2 2 2 4" xfId="1320" xr:uid="{00000000-0005-0000-0000-000084120000}"/>
    <cellStyle name="Separador de milhares 9 2 2 2 4 2" xfId="2648" xr:uid="{00000000-0005-0000-0000-000085120000}"/>
    <cellStyle name="Separador de milhares 9 2 2 2 4 2 2" xfId="5344" xr:uid="{00000000-0005-0000-0000-000086120000}"/>
    <cellStyle name="Separador de milhares 9 2 2 2 4 3" xfId="4016" xr:uid="{00000000-0005-0000-0000-000087120000}"/>
    <cellStyle name="Separador de milhares 9 2 2 2 5" xfId="2148" xr:uid="{00000000-0005-0000-0000-000088120000}"/>
    <cellStyle name="Separador de milhares 9 2 2 2 5 2" xfId="4844" xr:uid="{00000000-0005-0000-0000-000089120000}"/>
    <cellStyle name="Separador de milhares 9 2 2 2 6" xfId="3250" xr:uid="{00000000-0005-0000-0000-00008A120000}"/>
    <cellStyle name="Separador de milhares 9 2 2 3" xfId="663" xr:uid="{00000000-0005-0000-0000-00008B120000}"/>
    <cellStyle name="Separador de milhares 9 2 2 3 2" xfId="1000" xr:uid="{00000000-0005-0000-0000-00008C120000}"/>
    <cellStyle name="Separador de milhares 9 2 2 3 2 2" xfId="1767" xr:uid="{00000000-0005-0000-0000-00008D120000}"/>
    <cellStyle name="Separador de milhares 9 2 2 3 2 2 2" xfId="2961" xr:uid="{00000000-0005-0000-0000-00008E120000}"/>
    <cellStyle name="Separador de milhares 9 2 2 3 2 2 2 2" xfId="5657" xr:uid="{00000000-0005-0000-0000-00008F120000}"/>
    <cellStyle name="Separador de milhares 9 2 2 3 2 2 3" xfId="4463" xr:uid="{00000000-0005-0000-0000-000090120000}"/>
    <cellStyle name="Separador de milhares 9 2 2 3 2 3" xfId="2461" xr:uid="{00000000-0005-0000-0000-000091120000}"/>
    <cellStyle name="Separador de milhares 9 2 2 3 2 3 2" xfId="5157" xr:uid="{00000000-0005-0000-0000-000092120000}"/>
    <cellStyle name="Separador de milhares 9 2 2 3 2 4" xfId="3697" xr:uid="{00000000-0005-0000-0000-000093120000}"/>
    <cellStyle name="Separador de milhares 9 2 2 3 3" xfId="1430" xr:uid="{00000000-0005-0000-0000-000094120000}"/>
    <cellStyle name="Separador de milhares 9 2 2 3 3 2" xfId="2711" xr:uid="{00000000-0005-0000-0000-000095120000}"/>
    <cellStyle name="Separador de milhares 9 2 2 3 3 2 2" xfId="5407" xr:uid="{00000000-0005-0000-0000-000096120000}"/>
    <cellStyle name="Separador de milhares 9 2 2 3 3 3" xfId="4126" xr:uid="{00000000-0005-0000-0000-000097120000}"/>
    <cellStyle name="Separador de milhares 9 2 2 3 4" xfId="2211" xr:uid="{00000000-0005-0000-0000-000098120000}"/>
    <cellStyle name="Separador de milhares 9 2 2 3 4 2" xfId="4907" xr:uid="{00000000-0005-0000-0000-000099120000}"/>
    <cellStyle name="Separador de milhares 9 2 2 3 5" xfId="3360" xr:uid="{00000000-0005-0000-0000-00009A120000}"/>
    <cellStyle name="Separador de milhares 9 2 2 4" xfId="826" xr:uid="{00000000-0005-0000-0000-00009B120000}"/>
    <cellStyle name="Separador de milhares 9 2 2 4 2" xfId="1593" xr:uid="{00000000-0005-0000-0000-00009C120000}"/>
    <cellStyle name="Separador de milhares 9 2 2 4 2 2" xfId="2836" xr:uid="{00000000-0005-0000-0000-00009D120000}"/>
    <cellStyle name="Separador de milhares 9 2 2 4 2 2 2" xfId="5532" xr:uid="{00000000-0005-0000-0000-00009E120000}"/>
    <cellStyle name="Separador de milhares 9 2 2 4 2 3" xfId="4289" xr:uid="{00000000-0005-0000-0000-00009F120000}"/>
    <cellStyle name="Separador de milhares 9 2 2 4 3" xfId="2336" xr:uid="{00000000-0005-0000-0000-0000A0120000}"/>
    <cellStyle name="Separador de milhares 9 2 2 4 3 2" xfId="5032" xr:uid="{00000000-0005-0000-0000-0000A1120000}"/>
    <cellStyle name="Separador de milhares 9 2 2 4 4" xfId="3523" xr:uid="{00000000-0005-0000-0000-0000A2120000}"/>
    <cellStyle name="Separador de milhares 9 2 2 5" xfId="1257" xr:uid="{00000000-0005-0000-0000-0000A3120000}"/>
    <cellStyle name="Separador de milhares 9 2 2 5 2" xfId="2586" xr:uid="{00000000-0005-0000-0000-0000A4120000}"/>
    <cellStyle name="Separador de milhares 9 2 2 5 2 2" xfId="5282" xr:uid="{00000000-0005-0000-0000-0000A5120000}"/>
    <cellStyle name="Separador de milhares 9 2 2 5 3" xfId="3953" xr:uid="{00000000-0005-0000-0000-0000A6120000}"/>
    <cellStyle name="Separador de milhares 9 2 2 6" xfId="2086" xr:uid="{00000000-0005-0000-0000-0000A7120000}"/>
    <cellStyle name="Separador de milhares 9 2 2 6 2" xfId="4782" xr:uid="{00000000-0005-0000-0000-0000A8120000}"/>
    <cellStyle name="Separador de milhares 9 2 2 7" xfId="3186" xr:uid="{00000000-0005-0000-0000-0000A9120000}"/>
    <cellStyle name="Separador de milhares 9 2 3" xfId="2032" xr:uid="{00000000-0005-0000-0000-0000AA120000}"/>
    <cellStyle name="Separador de milhares 9 2 3 2" xfId="4728" xr:uid="{00000000-0005-0000-0000-0000AB120000}"/>
    <cellStyle name="Separador de milhares 9 2 4" xfId="3131" xr:uid="{00000000-0005-0000-0000-0000AC120000}"/>
    <cellStyle name="Separador de milhares 9 3" xfId="422" xr:uid="{00000000-0005-0000-0000-0000AD120000}"/>
    <cellStyle name="Separador de milhares 9 3 2" xfId="488" xr:uid="{00000000-0005-0000-0000-0000AE120000}"/>
    <cellStyle name="Separador de milhares 9 3 2 2" xfId="553" xr:uid="{00000000-0005-0000-0000-0000AF120000}"/>
    <cellStyle name="Separador de milhares 9 3 2 2 2" xfId="727" xr:uid="{00000000-0005-0000-0000-0000B0120000}"/>
    <cellStyle name="Separador de milhares 9 3 2 2 2 2" xfId="1064" xr:uid="{00000000-0005-0000-0000-0000B1120000}"/>
    <cellStyle name="Separador de milhares 9 3 2 2 2 2 2" xfId="1831" xr:uid="{00000000-0005-0000-0000-0000B2120000}"/>
    <cellStyle name="Separador de milhares 9 3 2 2 2 2 2 2" xfId="3024" xr:uid="{00000000-0005-0000-0000-0000B3120000}"/>
    <cellStyle name="Separador de milhares 9 3 2 2 2 2 2 2 2" xfId="5720" xr:uid="{00000000-0005-0000-0000-0000B4120000}"/>
    <cellStyle name="Separador de milhares 9 3 2 2 2 2 2 3" xfId="4527" xr:uid="{00000000-0005-0000-0000-0000B5120000}"/>
    <cellStyle name="Separador de milhares 9 3 2 2 2 2 3" xfId="2524" xr:uid="{00000000-0005-0000-0000-0000B6120000}"/>
    <cellStyle name="Separador de milhares 9 3 2 2 2 2 3 2" xfId="5220" xr:uid="{00000000-0005-0000-0000-0000B7120000}"/>
    <cellStyle name="Separador de milhares 9 3 2 2 2 2 4" xfId="3761" xr:uid="{00000000-0005-0000-0000-0000B8120000}"/>
    <cellStyle name="Separador de milhares 9 3 2 2 2 3" xfId="1494" xr:uid="{00000000-0005-0000-0000-0000B9120000}"/>
    <cellStyle name="Separador de milhares 9 3 2 2 2 3 2" xfId="2774" xr:uid="{00000000-0005-0000-0000-0000BA120000}"/>
    <cellStyle name="Separador de milhares 9 3 2 2 2 3 2 2" xfId="5470" xr:uid="{00000000-0005-0000-0000-0000BB120000}"/>
    <cellStyle name="Separador de milhares 9 3 2 2 2 3 3" xfId="4190" xr:uid="{00000000-0005-0000-0000-0000BC120000}"/>
    <cellStyle name="Separador de milhares 9 3 2 2 2 4" xfId="2274" xr:uid="{00000000-0005-0000-0000-0000BD120000}"/>
    <cellStyle name="Separador de milhares 9 3 2 2 2 4 2" xfId="4970" xr:uid="{00000000-0005-0000-0000-0000BE120000}"/>
    <cellStyle name="Separador de milhares 9 3 2 2 2 5" xfId="3424" xr:uid="{00000000-0005-0000-0000-0000BF120000}"/>
    <cellStyle name="Separador de milhares 9 3 2 2 3" xfId="891" xr:uid="{00000000-0005-0000-0000-0000C0120000}"/>
    <cellStyle name="Separador de milhares 9 3 2 2 3 2" xfId="1658" xr:uid="{00000000-0005-0000-0000-0000C1120000}"/>
    <cellStyle name="Separador de milhares 9 3 2 2 3 2 2" xfId="2899" xr:uid="{00000000-0005-0000-0000-0000C2120000}"/>
    <cellStyle name="Separador de milhares 9 3 2 2 3 2 2 2" xfId="5595" xr:uid="{00000000-0005-0000-0000-0000C3120000}"/>
    <cellStyle name="Separador de milhares 9 3 2 2 3 2 3" xfId="4354" xr:uid="{00000000-0005-0000-0000-0000C4120000}"/>
    <cellStyle name="Separador de milhares 9 3 2 2 3 3" xfId="2399" xr:uid="{00000000-0005-0000-0000-0000C5120000}"/>
    <cellStyle name="Separador de milhares 9 3 2 2 3 3 2" xfId="5095" xr:uid="{00000000-0005-0000-0000-0000C6120000}"/>
    <cellStyle name="Separador de milhares 9 3 2 2 3 4" xfId="3588" xr:uid="{00000000-0005-0000-0000-0000C7120000}"/>
    <cellStyle name="Separador de milhares 9 3 2 2 4" xfId="1321" xr:uid="{00000000-0005-0000-0000-0000C8120000}"/>
    <cellStyle name="Separador de milhares 9 3 2 2 4 2" xfId="2649" xr:uid="{00000000-0005-0000-0000-0000C9120000}"/>
    <cellStyle name="Separador de milhares 9 3 2 2 4 2 2" xfId="5345" xr:uid="{00000000-0005-0000-0000-0000CA120000}"/>
    <cellStyle name="Separador de milhares 9 3 2 2 4 3" xfId="4017" xr:uid="{00000000-0005-0000-0000-0000CB120000}"/>
    <cellStyle name="Separador de milhares 9 3 2 2 5" xfId="2149" xr:uid="{00000000-0005-0000-0000-0000CC120000}"/>
    <cellStyle name="Separador de milhares 9 3 2 2 5 2" xfId="4845" xr:uid="{00000000-0005-0000-0000-0000CD120000}"/>
    <cellStyle name="Separador de milhares 9 3 2 2 6" xfId="3251" xr:uid="{00000000-0005-0000-0000-0000CE120000}"/>
    <cellStyle name="Separador de milhares 9 3 2 3" xfId="664" xr:uid="{00000000-0005-0000-0000-0000CF120000}"/>
    <cellStyle name="Separador de milhares 9 3 2 3 2" xfId="1001" xr:uid="{00000000-0005-0000-0000-0000D0120000}"/>
    <cellStyle name="Separador de milhares 9 3 2 3 2 2" xfId="1768" xr:uid="{00000000-0005-0000-0000-0000D1120000}"/>
    <cellStyle name="Separador de milhares 9 3 2 3 2 2 2" xfId="2962" xr:uid="{00000000-0005-0000-0000-0000D2120000}"/>
    <cellStyle name="Separador de milhares 9 3 2 3 2 2 2 2" xfId="5658" xr:uid="{00000000-0005-0000-0000-0000D3120000}"/>
    <cellStyle name="Separador de milhares 9 3 2 3 2 2 3" xfId="4464" xr:uid="{00000000-0005-0000-0000-0000D4120000}"/>
    <cellStyle name="Separador de milhares 9 3 2 3 2 3" xfId="2462" xr:uid="{00000000-0005-0000-0000-0000D5120000}"/>
    <cellStyle name="Separador de milhares 9 3 2 3 2 3 2" xfId="5158" xr:uid="{00000000-0005-0000-0000-0000D6120000}"/>
    <cellStyle name="Separador de milhares 9 3 2 3 2 4" xfId="3698" xr:uid="{00000000-0005-0000-0000-0000D7120000}"/>
    <cellStyle name="Separador de milhares 9 3 2 3 3" xfId="1431" xr:uid="{00000000-0005-0000-0000-0000D8120000}"/>
    <cellStyle name="Separador de milhares 9 3 2 3 3 2" xfId="2712" xr:uid="{00000000-0005-0000-0000-0000D9120000}"/>
    <cellStyle name="Separador de milhares 9 3 2 3 3 2 2" xfId="5408" xr:uid="{00000000-0005-0000-0000-0000DA120000}"/>
    <cellStyle name="Separador de milhares 9 3 2 3 3 3" xfId="4127" xr:uid="{00000000-0005-0000-0000-0000DB120000}"/>
    <cellStyle name="Separador de milhares 9 3 2 3 4" xfId="2212" xr:uid="{00000000-0005-0000-0000-0000DC120000}"/>
    <cellStyle name="Separador de milhares 9 3 2 3 4 2" xfId="4908" xr:uid="{00000000-0005-0000-0000-0000DD120000}"/>
    <cellStyle name="Separador de milhares 9 3 2 3 5" xfId="3361" xr:uid="{00000000-0005-0000-0000-0000DE120000}"/>
    <cellStyle name="Separador de milhares 9 3 2 4" xfId="827" xr:uid="{00000000-0005-0000-0000-0000DF120000}"/>
    <cellStyle name="Separador de milhares 9 3 2 4 2" xfId="1594" xr:uid="{00000000-0005-0000-0000-0000E0120000}"/>
    <cellStyle name="Separador de milhares 9 3 2 4 2 2" xfId="2837" xr:uid="{00000000-0005-0000-0000-0000E1120000}"/>
    <cellStyle name="Separador de milhares 9 3 2 4 2 2 2" xfId="5533" xr:uid="{00000000-0005-0000-0000-0000E2120000}"/>
    <cellStyle name="Separador de milhares 9 3 2 4 2 3" xfId="4290" xr:uid="{00000000-0005-0000-0000-0000E3120000}"/>
    <cellStyle name="Separador de milhares 9 3 2 4 3" xfId="2337" xr:uid="{00000000-0005-0000-0000-0000E4120000}"/>
    <cellStyle name="Separador de milhares 9 3 2 4 3 2" xfId="5033" xr:uid="{00000000-0005-0000-0000-0000E5120000}"/>
    <cellStyle name="Separador de milhares 9 3 2 4 4" xfId="3524" xr:uid="{00000000-0005-0000-0000-0000E6120000}"/>
    <cellStyle name="Separador de milhares 9 3 2 5" xfId="1258" xr:uid="{00000000-0005-0000-0000-0000E7120000}"/>
    <cellStyle name="Separador de milhares 9 3 2 5 2" xfId="2587" xr:uid="{00000000-0005-0000-0000-0000E8120000}"/>
    <cellStyle name="Separador de milhares 9 3 2 5 2 2" xfId="5283" xr:uid="{00000000-0005-0000-0000-0000E9120000}"/>
    <cellStyle name="Separador de milhares 9 3 2 5 3" xfId="3954" xr:uid="{00000000-0005-0000-0000-0000EA120000}"/>
    <cellStyle name="Separador de milhares 9 3 2 6" xfId="2087" xr:uid="{00000000-0005-0000-0000-0000EB120000}"/>
    <cellStyle name="Separador de milhares 9 3 2 6 2" xfId="4783" xr:uid="{00000000-0005-0000-0000-0000EC120000}"/>
    <cellStyle name="Separador de milhares 9 3 2 7" xfId="3187" xr:uid="{00000000-0005-0000-0000-0000ED120000}"/>
    <cellStyle name="Separador de milhares 9 3 3" xfId="2033" xr:uid="{00000000-0005-0000-0000-0000EE120000}"/>
    <cellStyle name="Separador de milhares 9 3 3 2" xfId="4729" xr:uid="{00000000-0005-0000-0000-0000EF120000}"/>
    <cellStyle name="Separador de milhares 9 3 4" xfId="3132" xr:uid="{00000000-0005-0000-0000-0000F0120000}"/>
    <cellStyle name="Separador de milhares 9 4" xfId="423" xr:uid="{00000000-0005-0000-0000-0000F1120000}"/>
    <cellStyle name="Separador de milhares 9 4 2" xfId="489" xr:uid="{00000000-0005-0000-0000-0000F2120000}"/>
    <cellStyle name="Separador de milhares 9 4 2 2" xfId="554" xr:uid="{00000000-0005-0000-0000-0000F3120000}"/>
    <cellStyle name="Separador de milhares 9 4 2 2 2" xfId="728" xr:uid="{00000000-0005-0000-0000-0000F4120000}"/>
    <cellStyle name="Separador de milhares 9 4 2 2 2 2" xfId="1065" xr:uid="{00000000-0005-0000-0000-0000F5120000}"/>
    <cellStyle name="Separador de milhares 9 4 2 2 2 2 2" xfId="1832" xr:uid="{00000000-0005-0000-0000-0000F6120000}"/>
    <cellStyle name="Separador de milhares 9 4 2 2 2 2 2 2" xfId="3025" xr:uid="{00000000-0005-0000-0000-0000F7120000}"/>
    <cellStyle name="Separador de milhares 9 4 2 2 2 2 2 2 2" xfId="5721" xr:uid="{00000000-0005-0000-0000-0000F8120000}"/>
    <cellStyle name="Separador de milhares 9 4 2 2 2 2 2 3" xfId="4528" xr:uid="{00000000-0005-0000-0000-0000F9120000}"/>
    <cellStyle name="Separador de milhares 9 4 2 2 2 2 3" xfId="2525" xr:uid="{00000000-0005-0000-0000-0000FA120000}"/>
    <cellStyle name="Separador de milhares 9 4 2 2 2 2 3 2" xfId="5221" xr:uid="{00000000-0005-0000-0000-0000FB120000}"/>
    <cellStyle name="Separador de milhares 9 4 2 2 2 2 4" xfId="3762" xr:uid="{00000000-0005-0000-0000-0000FC120000}"/>
    <cellStyle name="Separador de milhares 9 4 2 2 2 3" xfId="1495" xr:uid="{00000000-0005-0000-0000-0000FD120000}"/>
    <cellStyle name="Separador de milhares 9 4 2 2 2 3 2" xfId="2775" xr:uid="{00000000-0005-0000-0000-0000FE120000}"/>
    <cellStyle name="Separador de milhares 9 4 2 2 2 3 2 2" xfId="5471" xr:uid="{00000000-0005-0000-0000-0000FF120000}"/>
    <cellStyle name="Separador de milhares 9 4 2 2 2 3 3" xfId="4191" xr:uid="{00000000-0005-0000-0000-000000130000}"/>
    <cellStyle name="Separador de milhares 9 4 2 2 2 4" xfId="2275" xr:uid="{00000000-0005-0000-0000-000001130000}"/>
    <cellStyle name="Separador de milhares 9 4 2 2 2 4 2" xfId="4971" xr:uid="{00000000-0005-0000-0000-000002130000}"/>
    <cellStyle name="Separador de milhares 9 4 2 2 2 5" xfId="3425" xr:uid="{00000000-0005-0000-0000-000003130000}"/>
    <cellStyle name="Separador de milhares 9 4 2 2 3" xfId="892" xr:uid="{00000000-0005-0000-0000-000004130000}"/>
    <cellStyle name="Separador de milhares 9 4 2 2 3 2" xfId="1659" xr:uid="{00000000-0005-0000-0000-000005130000}"/>
    <cellStyle name="Separador de milhares 9 4 2 2 3 2 2" xfId="2900" xr:uid="{00000000-0005-0000-0000-000006130000}"/>
    <cellStyle name="Separador de milhares 9 4 2 2 3 2 2 2" xfId="5596" xr:uid="{00000000-0005-0000-0000-000007130000}"/>
    <cellStyle name="Separador de milhares 9 4 2 2 3 2 3" xfId="4355" xr:uid="{00000000-0005-0000-0000-000008130000}"/>
    <cellStyle name="Separador de milhares 9 4 2 2 3 3" xfId="2400" xr:uid="{00000000-0005-0000-0000-000009130000}"/>
    <cellStyle name="Separador de milhares 9 4 2 2 3 3 2" xfId="5096" xr:uid="{00000000-0005-0000-0000-00000A130000}"/>
    <cellStyle name="Separador de milhares 9 4 2 2 3 4" xfId="3589" xr:uid="{00000000-0005-0000-0000-00000B130000}"/>
    <cellStyle name="Separador de milhares 9 4 2 2 4" xfId="1322" xr:uid="{00000000-0005-0000-0000-00000C130000}"/>
    <cellStyle name="Separador de milhares 9 4 2 2 4 2" xfId="2650" xr:uid="{00000000-0005-0000-0000-00000D130000}"/>
    <cellStyle name="Separador de milhares 9 4 2 2 4 2 2" xfId="5346" xr:uid="{00000000-0005-0000-0000-00000E130000}"/>
    <cellStyle name="Separador de milhares 9 4 2 2 4 3" xfId="4018" xr:uid="{00000000-0005-0000-0000-00000F130000}"/>
    <cellStyle name="Separador de milhares 9 4 2 2 5" xfId="2150" xr:uid="{00000000-0005-0000-0000-000010130000}"/>
    <cellStyle name="Separador de milhares 9 4 2 2 5 2" xfId="4846" xr:uid="{00000000-0005-0000-0000-000011130000}"/>
    <cellStyle name="Separador de milhares 9 4 2 2 6" xfId="3252" xr:uid="{00000000-0005-0000-0000-000012130000}"/>
    <cellStyle name="Separador de milhares 9 4 2 3" xfId="665" xr:uid="{00000000-0005-0000-0000-000013130000}"/>
    <cellStyle name="Separador de milhares 9 4 2 3 2" xfId="1002" xr:uid="{00000000-0005-0000-0000-000014130000}"/>
    <cellStyle name="Separador de milhares 9 4 2 3 2 2" xfId="1769" xr:uid="{00000000-0005-0000-0000-000015130000}"/>
    <cellStyle name="Separador de milhares 9 4 2 3 2 2 2" xfId="2963" xr:uid="{00000000-0005-0000-0000-000016130000}"/>
    <cellStyle name="Separador de milhares 9 4 2 3 2 2 2 2" xfId="5659" xr:uid="{00000000-0005-0000-0000-000017130000}"/>
    <cellStyle name="Separador de milhares 9 4 2 3 2 2 3" xfId="4465" xr:uid="{00000000-0005-0000-0000-000018130000}"/>
    <cellStyle name="Separador de milhares 9 4 2 3 2 3" xfId="2463" xr:uid="{00000000-0005-0000-0000-000019130000}"/>
    <cellStyle name="Separador de milhares 9 4 2 3 2 3 2" xfId="5159" xr:uid="{00000000-0005-0000-0000-00001A130000}"/>
    <cellStyle name="Separador de milhares 9 4 2 3 2 4" xfId="3699" xr:uid="{00000000-0005-0000-0000-00001B130000}"/>
    <cellStyle name="Separador de milhares 9 4 2 3 3" xfId="1432" xr:uid="{00000000-0005-0000-0000-00001C130000}"/>
    <cellStyle name="Separador de milhares 9 4 2 3 3 2" xfId="2713" xr:uid="{00000000-0005-0000-0000-00001D130000}"/>
    <cellStyle name="Separador de milhares 9 4 2 3 3 2 2" xfId="5409" xr:uid="{00000000-0005-0000-0000-00001E130000}"/>
    <cellStyle name="Separador de milhares 9 4 2 3 3 3" xfId="4128" xr:uid="{00000000-0005-0000-0000-00001F130000}"/>
    <cellStyle name="Separador de milhares 9 4 2 3 4" xfId="2213" xr:uid="{00000000-0005-0000-0000-000020130000}"/>
    <cellStyle name="Separador de milhares 9 4 2 3 4 2" xfId="4909" xr:uid="{00000000-0005-0000-0000-000021130000}"/>
    <cellStyle name="Separador de milhares 9 4 2 3 5" xfId="3362" xr:uid="{00000000-0005-0000-0000-000022130000}"/>
    <cellStyle name="Separador de milhares 9 4 2 4" xfId="828" xr:uid="{00000000-0005-0000-0000-000023130000}"/>
    <cellStyle name="Separador de milhares 9 4 2 4 2" xfId="1595" xr:uid="{00000000-0005-0000-0000-000024130000}"/>
    <cellStyle name="Separador de milhares 9 4 2 4 2 2" xfId="2838" xr:uid="{00000000-0005-0000-0000-000025130000}"/>
    <cellStyle name="Separador de milhares 9 4 2 4 2 2 2" xfId="5534" xr:uid="{00000000-0005-0000-0000-000026130000}"/>
    <cellStyle name="Separador de milhares 9 4 2 4 2 3" xfId="4291" xr:uid="{00000000-0005-0000-0000-000027130000}"/>
    <cellStyle name="Separador de milhares 9 4 2 4 3" xfId="2338" xr:uid="{00000000-0005-0000-0000-000028130000}"/>
    <cellStyle name="Separador de milhares 9 4 2 4 3 2" xfId="5034" xr:uid="{00000000-0005-0000-0000-000029130000}"/>
    <cellStyle name="Separador de milhares 9 4 2 4 4" xfId="3525" xr:uid="{00000000-0005-0000-0000-00002A130000}"/>
    <cellStyle name="Separador de milhares 9 4 2 5" xfId="1259" xr:uid="{00000000-0005-0000-0000-00002B130000}"/>
    <cellStyle name="Separador de milhares 9 4 2 5 2" xfId="2588" xr:uid="{00000000-0005-0000-0000-00002C130000}"/>
    <cellStyle name="Separador de milhares 9 4 2 5 2 2" xfId="5284" xr:uid="{00000000-0005-0000-0000-00002D130000}"/>
    <cellStyle name="Separador de milhares 9 4 2 5 3" xfId="3955" xr:uid="{00000000-0005-0000-0000-00002E130000}"/>
    <cellStyle name="Separador de milhares 9 4 2 6" xfId="2088" xr:uid="{00000000-0005-0000-0000-00002F130000}"/>
    <cellStyle name="Separador de milhares 9 4 2 6 2" xfId="4784" xr:uid="{00000000-0005-0000-0000-000030130000}"/>
    <cellStyle name="Separador de milhares 9 4 2 7" xfId="3188" xr:uid="{00000000-0005-0000-0000-000031130000}"/>
    <cellStyle name="Separador de milhares 9 4 3" xfId="2034" xr:uid="{00000000-0005-0000-0000-000032130000}"/>
    <cellStyle name="Separador de milhares 9 4 3 2" xfId="4730" xr:uid="{00000000-0005-0000-0000-000033130000}"/>
    <cellStyle name="Separador de milhares 9 4 4" xfId="3133" xr:uid="{00000000-0005-0000-0000-000034130000}"/>
    <cellStyle name="Separador de milhares 9 5" xfId="424" xr:uid="{00000000-0005-0000-0000-000035130000}"/>
    <cellStyle name="Separador de milhares 9 5 2" xfId="490" xr:uid="{00000000-0005-0000-0000-000036130000}"/>
    <cellStyle name="Separador de milhares 9 5 2 2" xfId="555" xr:uid="{00000000-0005-0000-0000-000037130000}"/>
    <cellStyle name="Separador de milhares 9 5 2 2 2" xfId="729" xr:uid="{00000000-0005-0000-0000-000038130000}"/>
    <cellStyle name="Separador de milhares 9 5 2 2 2 2" xfId="1066" xr:uid="{00000000-0005-0000-0000-000039130000}"/>
    <cellStyle name="Separador de milhares 9 5 2 2 2 2 2" xfId="1833" xr:uid="{00000000-0005-0000-0000-00003A130000}"/>
    <cellStyle name="Separador de milhares 9 5 2 2 2 2 2 2" xfId="3026" xr:uid="{00000000-0005-0000-0000-00003B130000}"/>
    <cellStyle name="Separador de milhares 9 5 2 2 2 2 2 2 2" xfId="5722" xr:uid="{00000000-0005-0000-0000-00003C130000}"/>
    <cellStyle name="Separador de milhares 9 5 2 2 2 2 2 3" xfId="4529" xr:uid="{00000000-0005-0000-0000-00003D130000}"/>
    <cellStyle name="Separador de milhares 9 5 2 2 2 2 3" xfId="2526" xr:uid="{00000000-0005-0000-0000-00003E130000}"/>
    <cellStyle name="Separador de milhares 9 5 2 2 2 2 3 2" xfId="5222" xr:uid="{00000000-0005-0000-0000-00003F130000}"/>
    <cellStyle name="Separador de milhares 9 5 2 2 2 2 4" xfId="3763" xr:uid="{00000000-0005-0000-0000-000040130000}"/>
    <cellStyle name="Separador de milhares 9 5 2 2 2 3" xfId="1496" xr:uid="{00000000-0005-0000-0000-000041130000}"/>
    <cellStyle name="Separador de milhares 9 5 2 2 2 3 2" xfId="2776" xr:uid="{00000000-0005-0000-0000-000042130000}"/>
    <cellStyle name="Separador de milhares 9 5 2 2 2 3 2 2" xfId="5472" xr:uid="{00000000-0005-0000-0000-000043130000}"/>
    <cellStyle name="Separador de milhares 9 5 2 2 2 3 3" xfId="4192" xr:uid="{00000000-0005-0000-0000-000044130000}"/>
    <cellStyle name="Separador de milhares 9 5 2 2 2 4" xfId="2276" xr:uid="{00000000-0005-0000-0000-000045130000}"/>
    <cellStyle name="Separador de milhares 9 5 2 2 2 4 2" xfId="4972" xr:uid="{00000000-0005-0000-0000-000046130000}"/>
    <cellStyle name="Separador de milhares 9 5 2 2 2 5" xfId="3426" xr:uid="{00000000-0005-0000-0000-000047130000}"/>
    <cellStyle name="Separador de milhares 9 5 2 2 3" xfId="893" xr:uid="{00000000-0005-0000-0000-000048130000}"/>
    <cellStyle name="Separador de milhares 9 5 2 2 3 2" xfId="1660" xr:uid="{00000000-0005-0000-0000-000049130000}"/>
    <cellStyle name="Separador de milhares 9 5 2 2 3 2 2" xfId="2901" xr:uid="{00000000-0005-0000-0000-00004A130000}"/>
    <cellStyle name="Separador de milhares 9 5 2 2 3 2 2 2" xfId="5597" xr:uid="{00000000-0005-0000-0000-00004B130000}"/>
    <cellStyle name="Separador de milhares 9 5 2 2 3 2 3" xfId="4356" xr:uid="{00000000-0005-0000-0000-00004C130000}"/>
    <cellStyle name="Separador de milhares 9 5 2 2 3 3" xfId="2401" xr:uid="{00000000-0005-0000-0000-00004D130000}"/>
    <cellStyle name="Separador de milhares 9 5 2 2 3 3 2" xfId="5097" xr:uid="{00000000-0005-0000-0000-00004E130000}"/>
    <cellStyle name="Separador de milhares 9 5 2 2 3 4" xfId="3590" xr:uid="{00000000-0005-0000-0000-00004F130000}"/>
    <cellStyle name="Separador de milhares 9 5 2 2 4" xfId="1323" xr:uid="{00000000-0005-0000-0000-000050130000}"/>
    <cellStyle name="Separador de milhares 9 5 2 2 4 2" xfId="2651" xr:uid="{00000000-0005-0000-0000-000051130000}"/>
    <cellStyle name="Separador de milhares 9 5 2 2 4 2 2" xfId="5347" xr:uid="{00000000-0005-0000-0000-000052130000}"/>
    <cellStyle name="Separador de milhares 9 5 2 2 4 3" xfId="4019" xr:uid="{00000000-0005-0000-0000-000053130000}"/>
    <cellStyle name="Separador de milhares 9 5 2 2 5" xfId="2151" xr:uid="{00000000-0005-0000-0000-000054130000}"/>
    <cellStyle name="Separador de milhares 9 5 2 2 5 2" xfId="4847" xr:uid="{00000000-0005-0000-0000-000055130000}"/>
    <cellStyle name="Separador de milhares 9 5 2 2 6" xfId="3253" xr:uid="{00000000-0005-0000-0000-000056130000}"/>
    <cellStyle name="Separador de milhares 9 5 2 3" xfId="666" xr:uid="{00000000-0005-0000-0000-000057130000}"/>
    <cellStyle name="Separador de milhares 9 5 2 3 2" xfId="1003" xr:uid="{00000000-0005-0000-0000-000058130000}"/>
    <cellStyle name="Separador de milhares 9 5 2 3 2 2" xfId="1770" xr:uid="{00000000-0005-0000-0000-000059130000}"/>
    <cellStyle name="Separador de milhares 9 5 2 3 2 2 2" xfId="2964" xr:uid="{00000000-0005-0000-0000-00005A130000}"/>
    <cellStyle name="Separador de milhares 9 5 2 3 2 2 2 2" xfId="5660" xr:uid="{00000000-0005-0000-0000-00005B130000}"/>
    <cellStyle name="Separador de milhares 9 5 2 3 2 2 3" xfId="4466" xr:uid="{00000000-0005-0000-0000-00005C130000}"/>
    <cellStyle name="Separador de milhares 9 5 2 3 2 3" xfId="2464" xr:uid="{00000000-0005-0000-0000-00005D130000}"/>
    <cellStyle name="Separador de milhares 9 5 2 3 2 3 2" xfId="5160" xr:uid="{00000000-0005-0000-0000-00005E130000}"/>
    <cellStyle name="Separador de milhares 9 5 2 3 2 4" xfId="3700" xr:uid="{00000000-0005-0000-0000-00005F130000}"/>
    <cellStyle name="Separador de milhares 9 5 2 3 3" xfId="1433" xr:uid="{00000000-0005-0000-0000-000060130000}"/>
    <cellStyle name="Separador de milhares 9 5 2 3 3 2" xfId="2714" xr:uid="{00000000-0005-0000-0000-000061130000}"/>
    <cellStyle name="Separador de milhares 9 5 2 3 3 2 2" xfId="5410" xr:uid="{00000000-0005-0000-0000-000062130000}"/>
    <cellStyle name="Separador de milhares 9 5 2 3 3 3" xfId="4129" xr:uid="{00000000-0005-0000-0000-000063130000}"/>
    <cellStyle name="Separador de milhares 9 5 2 3 4" xfId="2214" xr:uid="{00000000-0005-0000-0000-000064130000}"/>
    <cellStyle name="Separador de milhares 9 5 2 3 4 2" xfId="4910" xr:uid="{00000000-0005-0000-0000-000065130000}"/>
    <cellStyle name="Separador de milhares 9 5 2 3 5" xfId="3363" xr:uid="{00000000-0005-0000-0000-000066130000}"/>
    <cellStyle name="Separador de milhares 9 5 2 4" xfId="829" xr:uid="{00000000-0005-0000-0000-000067130000}"/>
    <cellStyle name="Separador de milhares 9 5 2 4 2" xfId="1596" xr:uid="{00000000-0005-0000-0000-000068130000}"/>
    <cellStyle name="Separador de milhares 9 5 2 4 2 2" xfId="2839" xr:uid="{00000000-0005-0000-0000-000069130000}"/>
    <cellStyle name="Separador de milhares 9 5 2 4 2 2 2" xfId="5535" xr:uid="{00000000-0005-0000-0000-00006A130000}"/>
    <cellStyle name="Separador de milhares 9 5 2 4 2 3" xfId="4292" xr:uid="{00000000-0005-0000-0000-00006B130000}"/>
    <cellStyle name="Separador de milhares 9 5 2 4 3" xfId="2339" xr:uid="{00000000-0005-0000-0000-00006C130000}"/>
    <cellStyle name="Separador de milhares 9 5 2 4 3 2" xfId="5035" xr:uid="{00000000-0005-0000-0000-00006D130000}"/>
    <cellStyle name="Separador de milhares 9 5 2 4 4" xfId="3526" xr:uid="{00000000-0005-0000-0000-00006E130000}"/>
    <cellStyle name="Separador de milhares 9 5 2 5" xfId="1260" xr:uid="{00000000-0005-0000-0000-00006F130000}"/>
    <cellStyle name="Separador de milhares 9 5 2 5 2" xfId="2589" xr:uid="{00000000-0005-0000-0000-000070130000}"/>
    <cellStyle name="Separador de milhares 9 5 2 5 2 2" xfId="5285" xr:uid="{00000000-0005-0000-0000-000071130000}"/>
    <cellStyle name="Separador de milhares 9 5 2 5 3" xfId="3956" xr:uid="{00000000-0005-0000-0000-000072130000}"/>
    <cellStyle name="Separador de milhares 9 5 2 6" xfId="2089" xr:uid="{00000000-0005-0000-0000-000073130000}"/>
    <cellStyle name="Separador de milhares 9 5 2 6 2" xfId="4785" xr:uid="{00000000-0005-0000-0000-000074130000}"/>
    <cellStyle name="Separador de milhares 9 5 2 7" xfId="3189" xr:uid="{00000000-0005-0000-0000-000075130000}"/>
    <cellStyle name="Separador de milhares 9 5 3" xfId="2035" xr:uid="{00000000-0005-0000-0000-000076130000}"/>
    <cellStyle name="Separador de milhares 9 5 3 2" xfId="4731" xr:uid="{00000000-0005-0000-0000-000077130000}"/>
    <cellStyle name="Separador de milhares 9 5 4" xfId="3134" xr:uid="{00000000-0005-0000-0000-000078130000}"/>
    <cellStyle name="Separador de milhares 9 6" xfId="425" xr:uid="{00000000-0005-0000-0000-000079130000}"/>
    <cellStyle name="Separador de milhares 9 6 2" xfId="491" xr:uid="{00000000-0005-0000-0000-00007A130000}"/>
    <cellStyle name="Separador de milhares 9 6 2 2" xfId="556" xr:uid="{00000000-0005-0000-0000-00007B130000}"/>
    <cellStyle name="Separador de milhares 9 6 2 2 2" xfId="730" xr:uid="{00000000-0005-0000-0000-00007C130000}"/>
    <cellStyle name="Separador de milhares 9 6 2 2 2 2" xfId="1067" xr:uid="{00000000-0005-0000-0000-00007D130000}"/>
    <cellStyle name="Separador de milhares 9 6 2 2 2 2 2" xfId="1834" xr:uid="{00000000-0005-0000-0000-00007E130000}"/>
    <cellStyle name="Separador de milhares 9 6 2 2 2 2 2 2" xfId="3027" xr:uid="{00000000-0005-0000-0000-00007F130000}"/>
    <cellStyle name="Separador de milhares 9 6 2 2 2 2 2 2 2" xfId="5723" xr:uid="{00000000-0005-0000-0000-000080130000}"/>
    <cellStyle name="Separador de milhares 9 6 2 2 2 2 2 3" xfId="4530" xr:uid="{00000000-0005-0000-0000-000081130000}"/>
    <cellStyle name="Separador de milhares 9 6 2 2 2 2 3" xfId="2527" xr:uid="{00000000-0005-0000-0000-000082130000}"/>
    <cellStyle name="Separador de milhares 9 6 2 2 2 2 3 2" xfId="5223" xr:uid="{00000000-0005-0000-0000-000083130000}"/>
    <cellStyle name="Separador de milhares 9 6 2 2 2 2 4" xfId="3764" xr:uid="{00000000-0005-0000-0000-000084130000}"/>
    <cellStyle name="Separador de milhares 9 6 2 2 2 3" xfId="1497" xr:uid="{00000000-0005-0000-0000-000085130000}"/>
    <cellStyle name="Separador de milhares 9 6 2 2 2 3 2" xfId="2777" xr:uid="{00000000-0005-0000-0000-000086130000}"/>
    <cellStyle name="Separador de milhares 9 6 2 2 2 3 2 2" xfId="5473" xr:uid="{00000000-0005-0000-0000-000087130000}"/>
    <cellStyle name="Separador de milhares 9 6 2 2 2 3 3" xfId="4193" xr:uid="{00000000-0005-0000-0000-000088130000}"/>
    <cellStyle name="Separador de milhares 9 6 2 2 2 4" xfId="2277" xr:uid="{00000000-0005-0000-0000-000089130000}"/>
    <cellStyle name="Separador de milhares 9 6 2 2 2 4 2" xfId="4973" xr:uid="{00000000-0005-0000-0000-00008A130000}"/>
    <cellStyle name="Separador de milhares 9 6 2 2 2 5" xfId="3427" xr:uid="{00000000-0005-0000-0000-00008B130000}"/>
    <cellStyle name="Separador de milhares 9 6 2 2 3" xfId="894" xr:uid="{00000000-0005-0000-0000-00008C130000}"/>
    <cellStyle name="Separador de milhares 9 6 2 2 3 2" xfId="1661" xr:uid="{00000000-0005-0000-0000-00008D130000}"/>
    <cellStyle name="Separador de milhares 9 6 2 2 3 2 2" xfId="2902" xr:uid="{00000000-0005-0000-0000-00008E130000}"/>
    <cellStyle name="Separador de milhares 9 6 2 2 3 2 2 2" xfId="5598" xr:uid="{00000000-0005-0000-0000-00008F130000}"/>
    <cellStyle name="Separador de milhares 9 6 2 2 3 2 3" xfId="4357" xr:uid="{00000000-0005-0000-0000-000090130000}"/>
    <cellStyle name="Separador de milhares 9 6 2 2 3 3" xfId="2402" xr:uid="{00000000-0005-0000-0000-000091130000}"/>
    <cellStyle name="Separador de milhares 9 6 2 2 3 3 2" xfId="5098" xr:uid="{00000000-0005-0000-0000-000092130000}"/>
    <cellStyle name="Separador de milhares 9 6 2 2 3 4" xfId="3591" xr:uid="{00000000-0005-0000-0000-000093130000}"/>
    <cellStyle name="Separador de milhares 9 6 2 2 4" xfId="1324" xr:uid="{00000000-0005-0000-0000-000094130000}"/>
    <cellStyle name="Separador de milhares 9 6 2 2 4 2" xfId="2652" xr:uid="{00000000-0005-0000-0000-000095130000}"/>
    <cellStyle name="Separador de milhares 9 6 2 2 4 2 2" xfId="5348" xr:uid="{00000000-0005-0000-0000-000096130000}"/>
    <cellStyle name="Separador de milhares 9 6 2 2 4 3" xfId="4020" xr:uid="{00000000-0005-0000-0000-000097130000}"/>
    <cellStyle name="Separador de milhares 9 6 2 2 5" xfId="2152" xr:uid="{00000000-0005-0000-0000-000098130000}"/>
    <cellStyle name="Separador de milhares 9 6 2 2 5 2" xfId="4848" xr:uid="{00000000-0005-0000-0000-000099130000}"/>
    <cellStyle name="Separador de milhares 9 6 2 2 6" xfId="3254" xr:uid="{00000000-0005-0000-0000-00009A130000}"/>
    <cellStyle name="Separador de milhares 9 6 2 3" xfId="667" xr:uid="{00000000-0005-0000-0000-00009B130000}"/>
    <cellStyle name="Separador de milhares 9 6 2 3 2" xfId="1004" xr:uid="{00000000-0005-0000-0000-00009C130000}"/>
    <cellStyle name="Separador de milhares 9 6 2 3 2 2" xfId="1771" xr:uid="{00000000-0005-0000-0000-00009D130000}"/>
    <cellStyle name="Separador de milhares 9 6 2 3 2 2 2" xfId="2965" xr:uid="{00000000-0005-0000-0000-00009E130000}"/>
    <cellStyle name="Separador de milhares 9 6 2 3 2 2 2 2" xfId="5661" xr:uid="{00000000-0005-0000-0000-00009F130000}"/>
    <cellStyle name="Separador de milhares 9 6 2 3 2 2 3" xfId="4467" xr:uid="{00000000-0005-0000-0000-0000A0130000}"/>
    <cellStyle name="Separador de milhares 9 6 2 3 2 3" xfId="2465" xr:uid="{00000000-0005-0000-0000-0000A1130000}"/>
    <cellStyle name="Separador de milhares 9 6 2 3 2 3 2" xfId="5161" xr:uid="{00000000-0005-0000-0000-0000A2130000}"/>
    <cellStyle name="Separador de milhares 9 6 2 3 2 4" xfId="3701" xr:uid="{00000000-0005-0000-0000-0000A3130000}"/>
    <cellStyle name="Separador de milhares 9 6 2 3 3" xfId="1434" xr:uid="{00000000-0005-0000-0000-0000A4130000}"/>
    <cellStyle name="Separador de milhares 9 6 2 3 3 2" xfId="2715" xr:uid="{00000000-0005-0000-0000-0000A5130000}"/>
    <cellStyle name="Separador de milhares 9 6 2 3 3 2 2" xfId="5411" xr:uid="{00000000-0005-0000-0000-0000A6130000}"/>
    <cellStyle name="Separador de milhares 9 6 2 3 3 3" xfId="4130" xr:uid="{00000000-0005-0000-0000-0000A7130000}"/>
    <cellStyle name="Separador de milhares 9 6 2 3 4" xfId="2215" xr:uid="{00000000-0005-0000-0000-0000A8130000}"/>
    <cellStyle name="Separador de milhares 9 6 2 3 4 2" xfId="4911" xr:uid="{00000000-0005-0000-0000-0000A9130000}"/>
    <cellStyle name="Separador de milhares 9 6 2 3 5" xfId="3364" xr:uid="{00000000-0005-0000-0000-0000AA130000}"/>
    <cellStyle name="Separador de milhares 9 6 2 4" xfId="830" xr:uid="{00000000-0005-0000-0000-0000AB130000}"/>
    <cellStyle name="Separador de milhares 9 6 2 4 2" xfId="1597" xr:uid="{00000000-0005-0000-0000-0000AC130000}"/>
    <cellStyle name="Separador de milhares 9 6 2 4 2 2" xfId="2840" xr:uid="{00000000-0005-0000-0000-0000AD130000}"/>
    <cellStyle name="Separador de milhares 9 6 2 4 2 2 2" xfId="5536" xr:uid="{00000000-0005-0000-0000-0000AE130000}"/>
    <cellStyle name="Separador de milhares 9 6 2 4 2 3" xfId="4293" xr:uid="{00000000-0005-0000-0000-0000AF130000}"/>
    <cellStyle name="Separador de milhares 9 6 2 4 3" xfId="2340" xr:uid="{00000000-0005-0000-0000-0000B0130000}"/>
    <cellStyle name="Separador de milhares 9 6 2 4 3 2" xfId="5036" xr:uid="{00000000-0005-0000-0000-0000B1130000}"/>
    <cellStyle name="Separador de milhares 9 6 2 4 4" xfId="3527" xr:uid="{00000000-0005-0000-0000-0000B2130000}"/>
    <cellStyle name="Separador de milhares 9 6 2 5" xfId="1261" xr:uid="{00000000-0005-0000-0000-0000B3130000}"/>
    <cellStyle name="Separador de milhares 9 6 2 5 2" xfId="2590" xr:uid="{00000000-0005-0000-0000-0000B4130000}"/>
    <cellStyle name="Separador de milhares 9 6 2 5 2 2" xfId="5286" xr:uid="{00000000-0005-0000-0000-0000B5130000}"/>
    <cellStyle name="Separador de milhares 9 6 2 5 3" xfId="3957" xr:uid="{00000000-0005-0000-0000-0000B6130000}"/>
    <cellStyle name="Separador de milhares 9 6 2 6" xfId="2090" xr:uid="{00000000-0005-0000-0000-0000B7130000}"/>
    <cellStyle name="Separador de milhares 9 6 2 6 2" xfId="4786" xr:uid="{00000000-0005-0000-0000-0000B8130000}"/>
    <cellStyle name="Separador de milhares 9 6 2 7" xfId="3190" xr:uid="{00000000-0005-0000-0000-0000B9130000}"/>
    <cellStyle name="Separador de milhares 9 6 3" xfId="2036" xr:uid="{00000000-0005-0000-0000-0000BA130000}"/>
    <cellStyle name="Separador de milhares 9 6 3 2" xfId="4732" xr:uid="{00000000-0005-0000-0000-0000BB130000}"/>
    <cellStyle name="Separador de milhares 9 6 4" xfId="3135" xr:uid="{00000000-0005-0000-0000-0000BC130000}"/>
    <cellStyle name="Separador de milhares 9 7" xfId="426" xr:uid="{00000000-0005-0000-0000-0000BD130000}"/>
    <cellStyle name="Status 18" xfId="5843" xr:uid="{00000000-0005-0000-0000-0000BE130000}"/>
    <cellStyle name="Status 20" xfId="5844" xr:uid="{00000000-0005-0000-0000-0000BF130000}"/>
    <cellStyle name="SUMA PARCIAL" xfId="156" xr:uid="{00000000-0005-0000-0000-0000C0130000}"/>
    <cellStyle name="Text 19" xfId="5845" xr:uid="{00000000-0005-0000-0000-0000C1130000}"/>
    <cellStyle name="Text 21" xfId="5846" xr:uid="{00000000-0005-0000-0000-0000C2130000}"/>
    <cellStyle name="Texto de Aviso 2" xfId="249" xr:uid="{00000000-0005-0000-0000-0000C3130000}"/>
    <cellStyle name="Texto Explicativo 2" xfId="250" xr:uid="{00000000-0005-0000-0000-0000C4130000}"/>
    <cellStyle name="Title" xfId="53" xr:uid="{00000000-0005-0000-0000-0000C5130000}"/>
    <cellStyle name="Título 1 1" xfId="54" xr:uid="{00000000-0005-0000-0000-0000C6130000}"/>
    <cellStyle name="Título 1 1 1" xfId="55" xr:uid="{00000000-0005-0000-0000-0000C7130000}"/>
    <cellStyle name="Título 1 2" xfId="251" xr:uid="{00000000-0005-0000-0000-0000C8130000}"/>
    <cellStyle name="Título 2 2" xfId="252" xr:uid="{00000000-0005-0000-0000-0000C9130000}"/>
    <cellStyle name="Título 3 2" xfId="253" xr:uid="{00000000-0005-0000-0000-0000CA130000}"/>
    <cellStyle name="Título 4 2" xfId="254" xr:uid="{00000000-0005-0000-0000-0000CB130000}"/>
    <cellStyle name="Título 5" xfId="255" xr:uid="{00000000-0005-0000-0000-0000CC130000}"/>
    <cellStyle name="Titulo1" xfId="256" xr:uid="{00000000-0005-0000-0000-0000CD130000}"/>
    <cellStyle name="Titulo2" xfId="257" xr:uid="{00000000-0005-0000-0000-0000CE130000}"/>
    <cellStyle name="Total 2" xfId="258" xr:uid="{00000000-0005-0000-0000-0000CF130000}"/>
    <cellStyle name="Total 2 2" xfId="3101" xr:uid="{00000000-0005-0000-0000-0000D0130000}"/>
    <cellStyle name="Total 3" xfId="259" xr:uid="{00000000-0005-0000-0000-0000D1130000}"/>
    <cellStyle name="Vírgula" xfId="1" builtinId="3"/>
    <cellStyle name="Vírgula 10" xfId="777" xr:uid="{00000000-0005-0000-0000-0000D3130000}"/>
    <cellStyle name="Vírgula 10 2" xfId="1544" xr:uid="{00000000-0005-0000-0000-0000D4130000}"/>
    <cellStyle name="Vírgula 10 2 2" xfId="2788" xr:uid="{00000000-0005-0000-0000-0000D5130000}"/>
    <cellStyle name="Vírgula 10 2 2 2" xfId="5484" xr:uid="{00000000-0005-0000-0000-0000D6130000}"/>
    <cellStyle name="Vírgula 10 2 3" xfId="4240" xr:uid="{00000000-0005-0000-0000-0000D7130000}"/>
    <cellStyle name="Vírgula 10 3" xfId="2288" xr:uid="{00000000-0005-0000-0000-0000D8130000}"/>
    <cellStyle name="Vírgula 10 3 2" xfId="4984" xr:uid="{00000000-0005-0000-0000-0000D9130000}"/>
    <cellStyle name="Vírgula 10 4" xfId="3474" xr:uid="{00000000-0005-0000-0000-0000DA130000}"/>
    <cellStyle name="Vírgula 11" xfId="1209" xr:uid="{00000000-0005-0000-0000-0000DB130000}"/>
    <cellStyle name="Vírgula 11 2" xfId="2538" xr:uid="{00000000-0005-0000-0000-0000DC130000}"/>
    <cellStyle name="Vírgula 11 2 2" xfId="5234" xr:uid="{00000000-0005-0000-0000-0000DD130000}"/>
    <cellStyle name="Vírgula 11 3" xfId="3905" xr:uid="{00000000-0005-0000-0000-0000DE130000}"/>
    <cellStyle name="Vírgula 12" xfId="1967" xr:uid="{00000000-0005-0000-0000-0000DF130000}"/>
    <cellStyle name="Vírgula 12 2" xfId="4663" xr:uid="{00000000-0005-0000-0000-0000E0130000}"/>
    <cellStyle name="Vírgula 13" xfId="3053" xr:uid="{00000000-0005-0000-0000-0000E1130000}"/>
    <cellStyle name="Vírgula 14" xfId="3038" xr:uid="{00000000-0005-0000-0000-0000E2130000}"/>
    <cellStyle name="Vírgula 14 2" xfId="5733" xr:uid="{00000000-0005-0000-0000-0000E3130000}"/>
    <cellStyle name="Vírgula 15" xfId="3039" xr:uid="{00000000-0005-0000-0000-0000E4130000}"/>
    <cellStyle name="Vírgula 15 2" xfId="5734" xr:uid="{00000000-0005-0000-0000-0000E5130000}"/>
    <cellStyle name="Vírgula 16" xfId="5873" xr:uid="{00000000-0005-0000-0000-0000E6130000}"/>
    <cellStyle name="Vírgula 17" xfId="5884" xr:uid="{B81C088E-12A8-4095-8181-4A2FF8E92BF3}"/>
    <cellStyle name="Vírgula 2" xfId="57" xr:uid="{00000000-0005-0000-0000-0000E7130000}"/>
    <cellStyle name="Vírgula 2 10" xfId="3062" xr:uid="{00000000-0005-0000-0000-0000E8130000}"/>
    <cellStyle name="Vírgula 2 10 2" xfId="3035" xr:uid="{00000000-0005-0000-0000-0000E9130000}"/>
    <cellStyle name="Vírgula 2 10 2 2" xfId="5730" xr:uid="{00000000-0005-0000-0000-0000EA130000}"/>
    <cellStyle name="Vírgula 2 11" xfId="5847" xr:uid="{00000000-0005-0000-0000-0000EB130000}"/>
    <cellStyle name="Vírgula 2 2" xfId="72" xr:uid="{00000000-0005-0000-0000-0000EC130000}"/>
    <cellStyle name="Vírgula 2 2 2" xfId="460" xr:uid="{00000000-0005-0000-0000-0000ED130000}"/>
    <cellStyle name="Vírgula 2 2 2 2" xfId="525" xr:uid="{00000000-0005-0000-0000-0000EE130000}"/>
    <cellStyle name="Vírgula 2 2 2 2 2" xfId="699" xr:uid="{00000000-0005-0000-0000-0000EF130000}"/>
    <cellStyle name="Vírgula 2 2 2 2 2 2" xfId="1036" xr:uid="{00000000-0005-0000-0000-0000F0130000}"/>
    <cellStyle name="Vírgula 2 2 2 2 2 2 2" xfId="1803" xr:uid="{00000000-0005-0000-0000-0000F1130000}"/>
    <cellStyle name="Vírgula 2 2 2 2 2 2 2 2" xfId="2996" xr:uid="{00000000-0005-0000-0000-0000F2130000}"/>
    <cellStyle name="Vírgula 2 2 2 2 2 2 2 2 2" xfId="5692" xr:uid="{00000000-0005-0000-0000-0000F3130000}"/>
    <cellStyle name="Vírgula 2 2 2 2 2 2 2 3" xfId="4499" xr:uid="{00000000-0005-0000-0000-0000F4130000}"/>
    <cellStyle name="Vírgula 2 2 2 2 2 2 3" xfId="2496" xr:uid="{00000000-0005-0000-0000-0000F5130000}"/>
    <cellStyle name="Vírgula 2 2 2 2 2 2 3 2" xfId="5192" xr:uid="{00000000-0005-0000-0000-0000F6130000}"/>
    <cellStyle name="Vírgula 2 2 2 2 2 2 4" xfId="3733" xr:uid="{00000000-0005-0000-0000-0000F7130000}"/>
    <cellStyle name="Vírgula 2 2 2 2 2 3" xfId="1466" xr:uid="{00000000-0005-0000-0000-0000F8130000}"/>
    <cellStyle name="Vírgula 2 2 2 2 2 3 2" xfId="2746" xr:uid="{00000000-0005-0000-0000-0000F9130000}"/>
    <cellStyle name="Vírgula 2 2 2 2 2 3 2 2" xfId="5442" xr:uid="{00000000-0005-0000-0000-0000FA130000}"/>
    <cellStyle name="Vírgula 2 2 2 2 2 3 3" xfId="4162" xr:uid="{00000000-0005-0000-0000-0000FB130000}"/>
    <cellStyle name="Vírgula 2 2 2 2 2 4" xfId="2246" xr:uid="{00000000-0005-0000-0000-0000FC130000}"/>
    <cellStyle name="Vírgula 2 2 2 2 2 4 2" xfId="4942" xr:uid="{00000000-0005-0000-0000-0000FD130000}"/>
    <cellStyle name="Vírgula 2 2 2 2 2 5" xfId="3396" xr:uid="{00000000-0005-0000-0000-0000FE130000}"/>
    <cellStyle name="Vírgula 2 2 2 2 3" xfId="863" xr:uid="{00000000-0005-0000-0000-0000FF130000}"/>
    <cellStyle name="Vírgula 2 2 2 2 3 2" xfId="1630" xr:uid="{00000000-0005-0000-0000-000000140000}"/>
    <cellStyle name="Vírgula 2 2 2 2 3 2 2" xfId="2871" xr:uid="{00000000-0005-0000-0000-000001140000}"/>
    <cellStyle name="Vírgula 2 2 2 2 3 2 2 2" xfId="5567" xr:uid="{00000000-0005-0000-0000-000002140000}"/>
    <cellStyle name="Vírgula 2 2 2 2 3 2 3" xfId="4326" xr:uid="{00000000-0005-0000-0000-000003140000}"/>
    <cellStyle name="Vírgula 2 2 2 2 3 3" xfId="2371" xr:uid="{00000000-0005-0000-0000-000004140000}"/>
    <cellStyle name="Vírgula 2 2 2 2 3 3 2" xfId="5067" xr:uid="{00000000-0005-0000-0000-000005140000}"/>
    <cellStyle name="Vírgula 2 2 2 2 3 4" xfId="3560" xr:uid="{00000000-0005-0000-0000-000006140000}"/>
    <cellStyle name="Vírgula 2 2 2 2 4" xfId="1293" xr:uid="{00000000-0005-0000-0000-000007140000}"/>
    <cellStyle name="Vírgula 2 2 2 2 4 2" xfId="2621" xr:uid="{00000000-0005-0000-0000-000008140000}"/>
    <cellStyle name="Vírgula 2 2 2 2 4 2 2" xfId="5317" xr:uid="{00000000-0005-0000-0000-000009140000}"/>
    <cellStyle name="Vírgula 2 2 2 2 4 3" xfId="3989" xr:uid="{00000000-0005-0000-0000-00000A140000}"/>
    <cellStyle name="Vírgula 2 2 2 2 5" xfId="2121" xr:uid="{00000000-0005-0000-0000-00000B140000}"/>
    <cellStyle name="Vírgula 2 2 2 2 5 2" xfId="4817" xr:uid="{00000000-0005-0000-0000-00000C140000}"/>
    <cellStyle name="Vírgula 2 2 2 2 6" xfId="3223" xr:uid="{00000000-0005-0000-0000-00000D140000}"/>
    <cellStyle name="Vírgula 2 2 2 3" xfId="636" xr:uid="{00000000-0005-0000-0000-00000E140000}"/>
    <cellStyle name="Vírgula 2 2 2 3 2" xfId="973" xr:uid="{00000000-0005-0000-0000-00000F140000}"/>
    <cellStyle name="Vírgula 2 2 2 3 2 2" xfId="1740" xr:uid="{00000000-0005-0000-0000-000010140000}"/>
    <cellStyle name="Vírgula 2 2 2 3 2 2 2" xfId="2934" xr:uid="{00000000-0005-0000-0000-000011140000}"/>
    <cellStyle name="Vírgula 2 2 2 3 2 2 2 2" xfId="5630" xr:uid="{00000000-0005-0000-0000-000012140000}"/>
    <cellStyle name="Vírgula 2 2 2 3 2 2 3" xfId="4436" xr:uid="{00000000-0005-0000-0000-000013140000}"/>
    <cellStyle name="Vírgula 2 2 2 3 2 3" xfId="2434" xr:uid="{00000000-0005-0000-0000-000014140000}"/>
    <cellStyle name="Vírgula 2 2 2 3 2 3 2" xfId="5130" xr:uid="{00000000-0005-0000-0000-000015140000}"/>
    <cellStyle name="Vírgula 2 2 2 3 2 4" xfId="3670" xr:uid="{00000000-0005-0000-0000-000016140000}"/>
    <cellStyle name="Vírgula 2 2 2 3 3" xfId="1403" xr:uid="{00000000-0005-0000-0000-000017140000}"/>
    <cellStyle name="Vírgula 2 2 2 3 3 2" xfId="2684" xr:uid="{00000000-0005-0000-0000-000018140000}"/>
    <cellStyle name="Vírgula 2 2 2 3 3 2 2" xfId="5380" xr:uid="{00000000-0005-0000-0000-000019140000}"/>
    <cellStyle name="Vírgula 2 2 2 3 3 3" xfId="4099" xr:uid="{00000000-0005-0000-0000-00001A140000}"/>
    <cellStyle name="Vírgula 2 2 2 3 4" xfId="2184" xr:uid="{00000000-0005-0000-0000-00001B140000}"/>
    <cellStyle name="Vírgula 2 2 2 3 4 2" xfId="4880" xr:uid="{00000000-0005-0000-0000-00001C140000}"/>
    <cellStyle name="Vírgula 2 2 2 3 5" xfId="3333" xr:uid="{00000000-0005-0000-0000-00001D140000}"/>
    <cellStyle name="Vírgula 2 2 2 4" xfId="799" xr:uid="{00000000-0005-0000-0000-00001E140000}"/>
    <cellStyle name="Vírgula 2 2 2 4 2" xfId="1566" xr:uid="{00000000-0005-0000-0000-00001F140000}"/>
    <cellStyle name="Vírgula 2 2 2 4 2 2" xfId="2809" xr:uid="{00000000-0005-0000-0000-000020140000}"/>
    <cellStyle name="Vírgula 2 2 2 4 2 2 2" xfId="5505" xr:uid="{00000000-0005-0000-0000-000021140000}"/>
    <cellStyle name="Vírgula 2 2 2 4 2 3" xfId="4262" xr:uid="{00000000-0005-0000-0000-000022140000}"/>
    <cellStyle name="Vírgula 2 2 2 4 3" xfId="2309" xr:uid="{00000000-0005-0000-0000-000023140000}"/>
    <cellStyle name="Vírgula 2 2 2 4 3 2" xfId="5005" xr:uid="{00000000-0005-0000-0000-000024140000}"/>
    <cellStyle name="Vírgula 2 2 2 4 4" xfId="3496" xr:uid="{00000000-0005-0000-0000-000025140000}"/>
    <cellStyle name="Vírgula 2 2 2 5" xfId="1230" xr:uid="{00000000-0005-0000-0000-000026140000}"/>
    <cellStyle name="Vírgula 2 2 2 5 2" xfId="2559" xr:uid="{00000000-0005-0000-0000-000027140000}"/>
    <cellStyle name="Vírgula 2 2 2 5 2 2" xfId="5255" xr:uid="{00000000-0005-0000-0000-000028140000}"/>
    <cellStyle name="Vírgula 2 2 2 5 3" xfId="3926" xr:uid="{00000000-0005-0000-0000-000029140000}"/>
    <cellStyle name="Vírgula 2 2 2 6" xfId="2059" xr:uid="{00000000-0005-0000-0000-00002A140000}"/>
    <cellStyle name="Vírgula 2 2 2 6 2" xfId="4755" xr:uid="{00000000-0005-0000-0000-00002B140000}"/>
    <cellStyle name="Vírgula 2 2 2 7" xfId="3159" xr:uid="{00000000-0005-0000-0000-00002C140000}"/>
    <cellStyle name="Vírgula 2 2 3" xfId="260" xr:uid="{00000000-0005-0000-0000-00002D140000}"/>
    <cellStyle name="Vírgula 2 2 3 2" xfId="2003" xr:uid="{00000000-0005-0000-0000-00002E140000}"/>
    <cellStyle name="Vírgula 2 2 3 2 2" xfId="4699" xr:uid="{00000000-0005-0000-0000-00002F140000}"/>
    <cellStyle name="Vírgula 2 2 3 3" xfId="3102" xr:uid="{00000000-0005-0000-0000-000030140000}"/>
    <cellStyle name="Vírgula 2 2 4" xfId="1977" xr:uid="{00000000-0005-0000-0000-000031140000}"/>
    <cellStyle name="Vírgula 2 2 4 2" xfId="4673" xr:uid="{00000000-0005-0000-0000-000032140000}"/>
    <cellStyle name="Vírgula 2 2 5" xfId="3046" xr:uid="{00000000-0005-0000-0000-000033140000}"/>
    <cellStyle name="Vírgula 2 2 5 2" xfId="5735" xr:uid="{00000000-0005-0000-0000-000034140000}"/>
    <cellStyle name="Vírgula 2 2 6" xfId="3069" xr:uid="{00000000-0005-0000-0000-000035140000}"/>
    <cellStyle name="Vírgula 2 2 7" xfId="5848" xr:uid="{00000000-0005-0000-0000-000036140000}"/>
    <cellStyle name="Vírgula 2 3" xfId="427" xr:uid="{00000000-0005-0000-0000-000037140000}"/>
    <cellStyle name="Vírgula 2 3 2" xfId="3037" xr:uid="{00000000-0005-0000-0000-000038140000}"/>
    <cellStyle name="Vírgula 2 3 2 2" xfId="5732" xr:uid="{00000000-0005-0000-0000-000039140000}"/>
    <cellStyle name="Vírgula 2 3 2 3" xfId="5883" xr:uid="{00000000-0005-0000-0000-00003A140000}"/>
    <cellStyle name="Vírgula 2 3 2 4" xfId="5885" xr:uid="{9FBAC6B5-DA7A-4F40-9F96-CC4BA24CDCF3}"/>
    <cellStyle name="Vírgula 2 3 3" xfId="5849" xr:uid="{00000000-0005-0000-0000-00003B140000}"/>
    <cellStyle name="Vírgula 2 4" xfId="449" xr:uid="{00000000-0005-0000-0000-00003C140000}"/>
    <cellStyle name="Vírgula 2 4 2" xfId="513" xr:uid="{00000000-0005-0000-0000-00003D140000}"/>
    <cellStyle name="Vírgula 2 4 2 2" xfId="687" xr:uid="{00000000-0005-0000-0000-00003E140000}"/>
    <cellStyle name="Vírgula 2 4 2 2 2" xfId="1024" xr:uid="{00000000-0005-0000-0000-00003F140000}"/>
    <cellStyle name="Vírgula 2 4 2 2 2 2" xfId="1791" xr:uid="{00000000-0005-0000-0000-000040140000}"/>
    <cellStyle name="Vírgula 2 4 2 2 2 2 2" xfId="2984" xr:uid="{00000000-0005-0000-0000-000041140000}"/>
    <cellStyle name="Vírgula 2 4 2 2 2 2 2 2" xfId="5680" xr:uid="{00000000-0005-0000-0000-000042140000}"/>
    <cellStyle name="Vírgula 2 4 2 2 2 2 3" xfId="4487" xr:uid="{00000000-0005-0000-0000-000043140000}"/>
    <cellStyle name="Vírgula 2 4 2 2 2 3" xfId="2484" xr:uid="{00000000-0005-0000-0000-000044140000}"/>
    <cellStyle name="Vírgula 2 4 2 2 2 3 2" xfId="5180" xr:uid="{00000000-0005-0000-0000-000045140000}"/>
    <cellStyle name="Vírgula 2 4 2 2 2 4" xfId="3721" xr:uid="{00000000-0005-0000-0000-000046140000}"/>
    <cellStyle name="Vírgula 2 4 2 2 3" xfId="1454" xr:uid="{00000000-0005-0000-0000-000047140000}"/>
    <cellStyle name="Vírgula 2 4 2 2 3 2" xfId="2734" xr:uid="{00000000-0005-0000-0000-000048140000}"/>
    <cellStyle name="Vírgula 2 4 2 2 3 2 2" xfId="5430" xr:uid="{00000000-0005-0000-0000-000049140000}"/>
    <cellStyle name="Vírgula 2 4 2 2 3 3" xfId="4150" xr:uid="{00000000-0005-0000-0000-00004A140000}"/>
    <cellStyle name="Vírgula 2 4 2 2 4" xfId="2234" xr:uid="{00000000-0005-0000-0000-00004B140000}"/>
    <cellStyle name="Vírgula 2 4 2 2 4 2" xfId="4930" xr:uid="{00000000-0005-0000-0000-00004C140000}"/>
    <cellStyle name="Vírgula 2 4 2 2 5" xfId="3384" xr:uid="{00000000-0005-0000-0000-00004D140000}"/>
    <cellStyle name="Vírgula 2 4 2 3" xfId="851" xr:uid="{00000000-0005-0000-0000-00004E140000}"/>
    <cellStyle name="Vírgula 2 4 2 3 2" xfId="1618" xr:uid="{00000000-0005-0000-0000-00004F140000}"/>
    <cellStyle name="Vírgula 2 4 2 3 2 2" xfId="2859" xr:uid="{00000000-0005-0000-0000-000050140000}"/>
    <cellStyle name="Vírgula 2 4 2 3 2 2 2" xfId="5555" xr:uid="{00000000-0005-0000-0000-000051140000}"/>
    <cellStyle name="Vírgula 2 4 2 3 2 3" xfId="4314" xr:uid="{00000000-0005-0000-0000-000052140000}"/>
    <cellStyle name="Vírgula 2 4 2 3 3" xfId="2359" xr:uid="{00000000-0005-0000-0000-000053140000}"/>
    <cellStyle name="Vírgula 2 4 2 3 3 2" xfId="5055" xr:uid="{00000000-0005-0000-0000-000054140000}"/>
    <cellStyle name="Vírgula 2 4 2 3 4" xfId="3548" xr:uid="{00000000-0005-0000-0000-000055140000}"/>
    <cellStyle name="Vírgula 2 4 2 4" xfId="1281" xr:uid="{00000000-0005-0000-0000-000056140000}"/>
    <cellStyle name="Vírgula 2 4 2 4 2" xfId="2609" xr:uid="{00000000-0005-0000-0000-000057140000}"/>
    <cellStyle name="Vírgula 2 4 2 4 2 2" xfId="5305" xr:uid="{00000000-0005-0000-0000-000058140000}"/>
    <cellStyle name="Vírgula 2 4 2 4 3" xfId="3977" xr:uid="{00000000-0005-0000-0000-000059140000}"/>
    <cellStyle name="Vírgula 2 4 2 5" xfId="2109" xr:uid="{00000000-0005-0000-0000-00005A140000}"/>
    <cellStyle name="Vírgula 2 4 2 5 2" xfId="4805" xr:uid="{00000000-0005-0000-0000-00005B140000}"/>
    <cellStyle name="Vírgula 2 4 2 6" xfId="3211" xr:uid="{00000000-0005-0000-0000-00005C140000}"/>
    <cellStyle name="Vírgula 2 4 3" xfId="624" xr:uid="{00000000-0005-0000-0000-00005D140000}"/>
    <cellStyle name="Vírgula 2 4 3 2" xfId="961" xr:uid="{00000000-0005-0000-0000-00005E140000}"/>
    <cellStyle name="Vírgula 2 4 3 2 2" xfId="1728" xr:uid="{00000000-0005-0000-0000-00005F140000}"/>
    <cellStyle name="Vírgula 2 4 3 2 2 2" xfId="2922" xr:uid="{00000000-0005-0000-0000-000060140000}"/>
    <cellStyle name="Vírgula 2 4 3 2 2 2 2" xfId="5618" xr:uid="{00000000-0005-0000-0000-000061140000}"/>
    <cellStyle name="Vírgula 2 4 3 2 2 3" xfId="4424" xr:uid="{00000000-0005-0000-0000-000062140000}"/>
    <cellStyle name="Vírgula 2 4 3 2 3" xfId="2422" xr:uid="{00000000-0005-0000-0000-000063140000}"/>
    <cellStyle name="Vírgula 2 4 3 2 3 2" xfId="5118" xr:uid="{00000000-0005-0000-0000-000064140000}"/>
    <cellStyle name="Vírgula 2 4 3 2 4" xfId="3658" xr:uid="{00000000-0005-0000-0000-000065140000}"/>
    <cellStyle name="Vírgula 2 4 3 3" xfId="1391" xr:uid="{00000000-0005-0000-0000-000066140000}"/>
    <cellStyle name="Vírgula 2 4 3 3 2" xfId="2672" xr:uid="{00000000-0005-0000-0000-000067140000}"/>
    <cellStyle name="Vírgula 2 4 3 3 2 2" xfId="5368" xr:uid="{00000000-0005-0000-0000-000068140000}"/>
    <cellStyle name="Vírgula 2 4 3 3 3" xfId="4087" xr:uid="{00000000-0005-0000-0000-000069140000}"/>
    <cellStyle name="Vírgula 2 4 3 4" xfId="2172" xr:uid="{00000000-0005-0000-0000-00006A140000}"/>
    <cellStyle name="Vírgula 2 4 3 4 2" xfId="4868" xr:uid="{00000000-0005-0000-0000-00006B140000}"/>
    <cellStyle name="Vírgula 2 4 3 5" xfId="3321" xr:uid="{00000000-0005-0000-0000-00006C140000}"/>
    <cellStyle name="Vírgula 2 4 4" xfId="787" xr:uid="{00000000-0005-0000-0000-00006D140000}"/>
    <cellStyle name="Vírgula 2 4 4 2" xfId="1554" xr:uid="{00000000-0005-0000-0000-00006E140000}"/>
    <cellStyle name="Vírgula 2 4 4 2 2" xfId="2797" xr:uid="{00000000-0005-0000-0000-00006F140000}"/>
    <cellStyle name="Vírgula 2 4 4 2 2 2" xfId="5493" xr:uid="{00000000-0005-0000-0000-000070140000}"/>
    <cellStyle name="Vírgula 2 4 4 2 3" xfId="4250" xr:uid="{00000000-0005-0000-0000-000071140000}"/>
    <cellStyle name="Vírgula 2 4 4 3" xfId="2297" xr:uid="{00000000-0005-0000-0000-000072140000}"/>
    <cellStyle name="Vírgula 2 4 4 3 2" xfId="4993" xr:uid="{00000000-0005-0000-0000-000073140000}"/>
    <cellStyle name="Vírgula 2 4 4 4" xfId="3484" xr:uid="{00000000-0005-0000-0000-000074140000}"/>
    <cellStyle name="Vírgula 2 4 5" xfId="1218" xr:uid="{00000000-0005-0000-0000-000075140000}"/>
    <cellStyle name="Vírgula 2 4 5 2" xfId="2547" xr:uid="{00000000-0005-0000-0000-000076140000}"/>
    <cellStyle name="Vírgula 2 4 5 2 2" xfId="5243" xr:uid="{00000000-0005-0000-0000-000077140000}"/>
    <cellStyle name="Vírgula 2 4 5 3" xfId="3914" xr:uid="{00000000-0005-0000-0000-000078140000}"/>
    <cellStyle name="Vírgula 2 4 6" xfId="2048" xr:uid="{00000000-0005-0000-0000-000079140000}"/>
    <cellStyle name="Vírgula 2 4 6 2" xfId="4744" xr:uid="{00000000-0005-0000-0000-00007A140000}"/>
    <cellStyle name="Vírgula 2 4 7" xfId="3148" xr:uid="{00000000-0005-0000-0000-00007B140000}"/>
    <cellStyle name="Vírgula 2 4 8" xfId="5850" xr:uid="{00000000-0005-0000-0000-00007C140000}"/>
    <cellStyle name="Vírgula 2 5" xfId="498" xr:uid="{00000000-0005-0000-0000-00007D140000}"/>
    <cellStyle name="Vírgula 2 5 2" xfId="673" xr:uid="{00000000-0005-0000-0000-00007E140000}"/>
    <cellStyle name="Vírgula 2 5 2 2" xfId="1010" xr:uid="{00000000-0005-0000-0000-00007F140000}"/>
    <cellStyle name="Vírgula 2 5 2 2 2" xfId="1777" xr:uid="{00000000-0005-0000-0000-000080140000}"/>
    <cellStyle name="Vírgula 2 5 2 2 2 2" xfId="2970" xr:uid="{00000000-0005-0000-0000-000081140000}"/>
    <cellStyle name="Vírgula 2 5 2 2 2 2 2" xfId="5666" xr:uid="{00000000-0005-0000-0000-000082140000}"/>
    <cellStyle name="Vírgula 2 5 2 2 2 3" xfId="4473" xr:uid="{00000000-0005-0000-0000-000083140000}"/>
    <cellStyle name="Vírgula 2 5 2 2 3" xfId="2470" xr:uid="{00000000-0005-0000-0000-000084140000}"/>
    <cellStyle name="Vírgula 2 5 2 2 3 2" xfId="5166" xr:uid="{00000000-0005-0000-0000-000085140000}"/>
    <cellStyle name="Vírgula 2 5 2 2 4" xfId="3707" xr:uid="{00000000-0005-0000-0000-000086140000}"/>
    <cellStyle name="Vírgula 2 5 2 3" xfId="1440" xr:uid="{00000000-0005-0000-0000-000087140000}"/>
    <cellStyle name="Vírgula 2 5 2 3 2" xfId="2720" xr:uid="{00000000-0005-0000-0000-000088140000}"/>
    <cellStyle name="Vírgula 2 5 2 3 2 2" xfId="5416" xr:uid="{00000000-0005-0000-0000-000089140000}"/>
    <cellStyle name="Vírgula 2 5 2 3 3" xfId="4136" xr:uid="{00000000-0005-0000-0000-00008A140000}"/>
    <cellStyle name="Vírgula 2 5 2 4" xfId="2220" xr:uid="{00000000-0005-0000-0000-00008B140000}"/>
    <cellStyle name="Vírgula 2 5 2 4 2" xfId="4916" xr:uid="{00000000-0005-0000-0000-00008C140000}"/>
    <cellStyle name="Vírgula 2 5 2 5" xfId="3370" xr:uid="{00000000-0005-0000-0000-00008D140000}"/>
    <cellStyle name="Vírgula 2 5 3" xfId="836" xr:uid="{00000000-0005-0000-0000-00008E140000}"/>
    <cellStyle name="Vírgula 2 5 3 2" xfId="1603" xr:uid="{00000000-0005-0000-0000-00008F140000}"/>
    <cellStyle name="Vírgula 2 5 3 2 2" xfId="2845" xr:uid="{00000000-0005-0000-0000-000090140000}"/>
    <cellStyle name="Vírgula 2 5 3 2 2 2" xfId="5541" xr:uid="{00000000-0005-0000-0000-000091140000}"/>
    <cellStyle name="Vírgula 2 5 3 2 3" xfId="4299" xr:uid="{00000000-0005-0000-0000-000092140000}"/>
    <cellStyle name="Vírgula 2 5 3 3" xfId="2345" xr:uid="{00000000-0005-0000-0000-000093140000}"/>
    <cellStyle name="Vírgula 2 5 3 3 2" xfId="5041" xr:uid="{00000000-0005-0000-0000-000094140000}"/>
    <cellStyle name="Vírgula 2 5 3 4" xfId="3533" xr:uid="{00000000-0005-0000-0000-000095140000}"/>
    <cellStyle name="Vírgula 2 5 4" xfId="1266" xr:uid="{00000000-0005-0000-0000-000096140000}"/>
    <cellStyle name="Vírgula 2 5 4 2" xfId="2595" xr:uid="{00000000-0005-0000-0000-000097140000}"/>
    <cellStyle name="Vírgula 2 5 4 2 2" xfId="5291" xr:uid="{00000000-0005-0000-0000-000098140000}"/>
    <cellStyle name="Vírgula 2 5 4 3" xfId="3962" xr:uid="{00000000-0005-0000-0000-000099140000}"/>
    <cellStyle name="Vírgula 2 5 5" xfId="2095" xr:uid="{00000000-0005-0000-0000-00009A140000}"/>
    <cellStyle name="Vírgula 2 5 5 2" xfId="4791" xr:uid="{00000000-0005-0000-0000-00009B140000}"/>
    <cellStyle name="Vírgula 2 5 6" xfId="3196" xr:uid="{00000000-0005-0000-0000-00009C140000}"/>
    <cellStyle name="Vírgula 2 5 7" xfId="5851" xr:uid="{00000000-0005-0000-0000-00009D140000}"/>
    <cellStyle name="Vírgula 2 6" xfId="575" xr:uid="{00000000-0005-0000-0000-00009E140000}"/>
    <cellStyle name="Vírgula 2 6 2" xfId="912" xr:uid="{00000000-0005-0000-0000-00009F140000}"/>
    <cellStyle name="Vírgula 2 6 2 2" xfId="1679" xr:uid="{00000000-0005-0000-0000-0000A0140000}"/>
    <cellStyle name="Vírgula 2 6 2 2 2" xfId="2908" xr:uid="{00000000-0005-0000-0000-0000A1140000}"/>
    <cellStyle name="Vírgula 2 6 2 2 2 2" xfId="5604" xr:uid="{00000000-0005-0000-0000-0000A2140000}"/>
    <cellStyle name="Vírgula 2 6 2 2 3" xfId="4375" xr:uid="{00000000-0005-0000-0000-0000A3140000}"/>
    <cellStyle name="Vírgula 2 6 2 3" xfId="2408" xr:uid="{00000000-0005-0000-0000-0000A4140000}"/>
    <cellStyle name="Vírgula 2 6 2 3 2" xfId="5104" xr:uid="{00000000-0005-0000-0000-0000A5140000}"/>
    <cellStyle name="Vírgula 2 6 2 4" xfId="3609" xr:uid="{00000000-0005-0000-0000-0000A6140000}"/>
    <cellStyle name="Vírgula 2 6 3" xfId="1342" xr:uid="{00000000-0005-0000-0000-0000A7140000}"/>
    <cellStyle name="Vírgula 2 6 3 2" xfId="2658" xr:uid="{00000000-0005-0000-0000-0000A8140000}"/>
    <cellStyle name="Vírgula 2 6 3 2 2" xfId="5354" xr:uid="{00000000-0005-0000-0000-0000A9140000}"/>
    <cellStyle name="Vírgula 2 6 3 3" xfId="4038" xr:uid="{00000000-0005-0000-0000-0000AA140000}"/>
    <cellStyle name="Vírgula 2 6 4" xfId="2158" xr:uid="{00000000-0005-0000-0000-0000AB140000}"/>
    <cellStyle name="Vírgula 2 6 4 2" xfId="4854" xr:uid="{00000000-0005-0000-0000-0000AC140000}"/>
    <cellStyle name="Vírgula 2 6 5" xfId="3272" xr:uid="{00000000-0005-0000-0000-0000AD140000}"/>
    <cellStyle name="Vírgula 2 7" xfId="769" xr:uid="{00000000-0005-0000-0000-0000AE140000}"/>
    <cellStyle name="Vírgula 2 7 2" xfId="1536" xr:uid="{00000000-0005-0000-0000-0000AF140000}"/>
    <cellStyle name="Vírgula 2 7 2 2" xfId="2783" xr:uid="{00000000-0005-0000-0000-0000B0140000}"/>
    <cellStyle name="Vírgula 2 7 2 2 2" xfId="5479" xr:uid="{00000000-0005-0000-0000-0000B1140000}"/>
    <cellStyle name="Vírgula 2 7 2 3" xfId="4232" xr:uid="{00000000-0005-0000-0000-0000B2140000}"/>
    <cellStyle name="Vírgula 2 7 3" xfId="2283" xr:uid="{00000000-0005-0000-0000-0000B3140000}"/>
    <cellStyle name="Vírgula 2 7 3 2" xfId="4979" xr:uid="{00000000-0005-0000-0000-0000B4140000}"/>
    <cellStyle name="Vírgula 2 7 4" xfId="3466" xr:uid="{00000000-0005-0000-0000-0000B5140000}"/>
    <cellStyle name="Vírgula 2 8" xfId="1202" xr:uid="{00000000-0005-0000-0000-0000B6140000}"/>
    <cellStyle name="Vírgula 2 8 2" xfId="2533" xr:uid="{00000000-0005-0000-0000-0000B7140000}"/>
    <cellStyle name="Vírgula 2 8 2 2" xfId="5229" xr:uid="{00000000-0005-0000-0000-0000B8140000}"/>
    <cellStyle name="Vírgula 2 8 3" xfId="3898" xr:uid="{00000000-0005-0000-0000-0000B9140000}"/>
    <cellStyle name="Vírgula 2 9" xfId="1971" xr:uid="{00000000-0005-0000-0000-0000BA140000}"/>
    <cellStyle name="Vírgula 2 9 2" xfId="4667" xr:uid="{00000000-0005-0000-0000-0000BB140000}"/>
    <cellStyle name="Vírgula 3" xfId="60" xr:uid="{00000000-0005-0000-0000-0000BC140000}"/>
    <cellStyle name="Vírgula 3 2" xfId="74" xr:uid="{00000000-0005-0000-0000-0000BD140000}"/>
    <cellStyle name="Vírgula 3 2 2" xfId="514" xr:uid="{00000000-0005-0000-0000-0000BE140000}"/>
    <cellStyle name="Vírgula 3 2 2 2" xfId="688" xr:uid="{00000000-0005-0000-0000-0000BF140000}"/>
    <cellStyle name="Vírgula 3 2 2 2 2" xfId="1025" xr:uid="{00000000-0005-0000-0000-0000C0140000}"/>
    <cellStyle name="Vírgula 3 2 2 2 2 2" xfId="1792" xr:uid="{00000000-0005-0000-0000-0000C1140000}"/>
    <cellStyle name="Vírgula 3 2 2 2 2 2 2" xfId="2985" xr:uid="{00000000-0005-0000-0000-0000C2140000}"/>
    <cellStyle name="Vírgula 3 2 2 2 2 2 2 2" xfId="5681" xr:uid="{00000000-0005-0000-0000-0000C3140000}"/>
    <cellStyle name="Vírgula 3 2 2 2 2 2 3" xfId="4488" xr:uid="{00000000-0005-0000-0000-0000C4140000}"/>
    <cellStyle name="Vírgula 3 2 2 2 2 3" xfId="2485" xr:uid="{00000000-0005-0000-0000-0000C5140000}"/>
    <cellStyle name="Vírgula 3 2 2 2 2 3 2" xfId="5181" xr:uid="{00000000-0005-0000-0000-0000C6140000}"/>
    <cellStyle name="Vírgula 3 2 2 2 2 4" xfId="3722" xr:uid="{00000000-0005-0000-0000-0000C7140000}"/>
    <cellStyle name="Vírgula 3 2 2 2 3" xfId="1455" xr:uid="{00000000-0005-0000-0000-0000C8140000}"/>
    <cellStyle name="Vírgula 3 2 2 2 3 2" xfId="2735" xr:uid="{00000000-0005-0000-0000-0000C9140000}"/>
    <cellStyle name="Vírgula 3 2 2 2 3 2 2" xfId="5431" xr:uid="{00000000-0005-0000-0000-0000CA140000}"/>
    <cellStyle name="Vírgula 3 2 2 2 3 3" xfId="4151" xr:uid="{00000000-0005-0000-0000-0000CB140000}"/>
    <cellStyle name="Vírgula 3 2 2 2 4" xfId="2235" xr:uid="{00000000-0005-0000-0000-0000CC140000}"/>
    <cellStyle name="Vírgula 3 2 2 2 4 2" xfId="4931" xr:uid="{00000000-0005-0000-0000-0000CD140000}"/>
    <cellStyle name="Vírgula 3 2 2 2 5" xfId="3385" xr:uid="{00000000-0005-0000-0000-0000CE140000}"/>
    <cellStyle name="Vírgula 3 2 2 3" xfId="852" xr:uid="{00000000-0005-0000-0000-0000CF140000}"/>
    <cellStyle name="Vírgula 3 2 2 3 2" xfId="1619" xr:uid="{00000000-0005-0000-0000-0000D0140000}"/>
    <cellStyle name="Vírgula 3 2 2 3 2 2" xfId="2860" xr:uid="{00000000-0005-0000-0000-0000D1140000}"/>
    <cellStyle name="Vírgula 3 2 2 3 2 2 2" xfId="5556" xr:uid="{00000000-0005-0000-0000-0000D2140000}"/>
    <cellStyle name="Vírgula 3 2 2 3 2 3" xfId="4315" xr:uid="{00000000-0005-0000-0000-0000D3140000}"/>
    <cellStyle name="Vírgula 3 2 2 3 3" xfId="2360" xr:uid="{00000000-0005-0000-0000-0000D4140000}"/>
    <cellStyle name="Vírgula 3 2 2 3 3 2" xfId="5056" xr:uid="{00000000-0005-0000-0000-0000D5140000}"/>
    <cellStyle name="Vírgula 3 2 2 3 4" xfId="3549" xr:uid="{00000000-0005-0000-0000-0000D6140000}"/>
    <cellStyle name="Vírgula 3 2 2 4" xfId="1282" xr:uid="{00000000-0005-0000-0000-0000D7140000}"/>
    <cellStyle name="Vírgula 3 2 2 4 2" xfId="2610" xr:uid="{00000000-0005-0000-0000-0000D8140000}"/>
    <cellStyle name="Vírgula 3 2 2 4 2 2" xfId="5306" xr:uid="{00000000-0005-0000-0000-0000D9140000}"/>
    <cellStyle name="Vírgula 3 2 2 4 3" xfId="3978" xr:uid="{00000000-0005-0000-0000-0000DA140000}"/>
    <cellStyle name="Vírgula 3 2 2 5" xfId="2110" xr:uid="{00000000-0005-0000-0000-0000DB140000}"/>
    <cellStyle name="Vírgula 3 2 2 5 2" xfId="4806" xr:uid="{00000000-0005-0000-0000-0000DC140000}"/>
    <cellStyle name="Vírgula 3 2 2 6" xfId="3212" xr:uid="{00000000-0005-0000-0000-0000DD140000}"/>
    <cellStyle name="Vírgula 3 2 3" xfId="625" xr:uid="{00000000-0005-0000-0000-0000DE140000}"/>
    <cellStyle name="Vírgula 3 2 3 2" xfId="962" xr:uid="{00000000-0005-0000-0000-0000DF140000}"/>
    <cellStyle name="Vírgula 3 2 3 2 2" xfId="1729" xr:uid="{00000000-0005-0000-0000-0000E0140000}"/>
    <cellStyle name="Vírgula 3 2 3 2 2 2" xfId="2923" xr:uid="{00000000-0005-0000-0000-0000E1140000}"/>
    <cellStyle name="Vírgula 3 2 3 2 2 2 2" xfId="5619" xr:uid="{00000000-0005-0000-0000-0000E2140000}"/>
    <cellStyle name="Vírgula 3 2 3 2 2 3" xfId="4425" xr:uid="{00000000-0005-0000-0000-0000E3140000}"/>
    <cellStyle name="Vírgula 3 2 3 2 3" xfId="2423" xr:uid="{00000000-0005-0000-0000-0000E4140000}"/>
    <cellStyle name="Vírgula 3 2 3 2 3 2" xfId="5119" xr:uid="{00000000-0005-0000-0000-0000E5140000}"/>
    <cellStyle name="Vírgula 3 2 3 2 4" xfId="3659" xr:uid="{00000000-0005-0000-0000-0000E6140000}"/>
    <cellStyle name="Vírgula 3 2 3 3" xfId="1392" xr:uid="{00000000-0005-0000-0000-0000E7140000}"/>
    <cellStyle name="Vírgula 3 2 3 3 2" xfId="2673" xr:uid="{00000000-0005-0000-0000-0000E8140000}"/>
    <cellStyle name="Vírgula 3 2 3 3 2 2" xfId="5369" xr:uid="{00000000-0005-0000-0000-0000E9140000}"/>
    <cellStyle name="Vírgula 3 2 3 3 3" xfId="4088" xr:uid="{00000000-0005-0000-0000-0000EA140000}"/>
    <cellStyle name="Vírgula 3 2 3 4" xfId="2173" xr:uid="{00000000-0005-0000-0000-0000EB140000}"/>
    <cellStyle name="Vírgula 3 2 3 4 2" xfId="4869" xr:uid="{00000000-0005-0000-0000-0000EC140000}"/>
    <cellStyle name="Vírgula 3 2 3 5" xfId="3322" xr:uid="{00000000-0005-0000-0000-0000ED140000}"/>
    <cellStyle name="Vírgula 3 2 4" xfId="788" xr:uid="{00000000-0005-0000-0000-0000EE140000}"/>
    <cellStyle name="Vírgula 3 2 4 2" xfId="1555" xr:uid="{00000000-0005-0000-0000-0000EF140000}"/>
    <cellStyle name="Vírgula 3 2 4 2 2" xfId="2798" xr:uid="{00000000-0005-0000-0000-0000F0140000}"/>
    <cellStyle name="Vírgula 3 2 4 2 2 2" xfId="5494" xr:uid="{00000000-0005-0000-0000-0000F1140000}"/>
    <cellStyle name="Vírgula 3 2 4 2 3" xfId="4251" xr:uid="{00000000-0005-0000-0000-0000F2140000}"/>
    <cellStyle name="Vírgula 3 2 4 3" xfId="2298" xr:uid="{00000000-0005-0000-0000-0000F3140000}"/>
    <cellStyle name="Vírgula 3 2 4 3 2" xfId="4994" xr:uid="{00000000-0005-0000-0000-0000F4140000}"/>
    <cellStyle name="Vírgula 3 2 4 4" xfId="3485" xr:uid="{00000000-0005-0000-0000-0000F5140000}"/>
    <cellStyle name="Vírgula 3 2 5" xfId="1219" xr:uid="{00000000-0005-0000-0000-0000F6140000}"/>
    <cellStyle name="Vírgula 3 2 5 2" xfId="2548" xr:uid="{00000000-0005-0000-0000-0000F7140000}"/>
    <cellStyle name="Vírgula 3 2 5 2 2" xfId="5244" xr:uid="{00000000-0005-0000-0000-0000F8140000}"/>
    <cellStyle name="Vírgula 3 2 5 3" xfId="3915" xr:uid="{00000000-0005-0000-0000-0000F9140000}"/>
    <cellStyle name="Vírgula 3 2 6" xfId="1979" xr:uid="{00000000-0005-0000-0000-0000FA140000}"/>
    <cellStyle name="Vírgula 3 2 6 2" xfId="4675" xr:uid="{00000000-0005-0000-0000-0000FB140000}"/>
    <cellStyle name="Vírgula 3 2 7" xfId="3071" xr:uid="{00000000-0005-0000-0000-0000FC140000}"/>
    <cellStyle name="Vírgula 3 3" xfId="1973" xr:uid="{00000000-0005-0000-0000-0000FD140000}"/>
    <cellStyle name="Vírgula 3 3 2" xfId="4669" xr:uid="{00000000-0005-0000-0000-0000FE140000}"/>
    <cellStyle name="Vírgula 3 4" xfId="3064" xr:uid="{00000000-0005-0000-0000-0000FF140000}"/>
    <cellStyle name="Vírgula 4" xfId="62" xr:uid="{00000000-0005-0000-0000-000000150000}"/>
    <cellStyle name="Vírgula 4 2" xfId="450" xr:uid="{00000000-0005-0000-0000-000001150000}"/>
    <cellStyle name="Vírgula 4 2 2" xfId="515" xr:uid="{00000000-0005-0000-0000-000002150000}"/>
    <cellStyle name="Vírgula 4 2 2 2" xfId="689" xr:uid="{00000000-0005-0000-0000-000003150000}"/>
    <cellStyle name="Vírgula 4 2 2 2 2" xfId="1026" xr:uid="{00000000-0005-0000-0000-000004150000}"/>
    <cellStyle name="Vírgula 4 2 2 2 2 2" xfId="1793" xr:uid="{00000000-0005-0000-0000-000005150000}"/>
    <cellStyle name="Vírgula 4 2 2 2 2 2 2" xfId="2986" xr:uid="{00000000-0005-0000-0000-000006150000}"/>
    <cellStyle name="Vírgula 4 2 2 2 2 2 2 2" xfId="5682" xr:uid="{00000000-0005-0000-0000-000007150000}"/>
    <cellStyle name="Vírgula 4 2 2 2 2 2 3" xfId="4489" xr:uid="{00000000-0005-0000-0000-000008150000}"/>
    <cellStyle name="Vírgula 4 2 2 2 2 3" xfId="2486" xr:uid="{00000000-0005-0000-0000-000009150000}"/>
    <cellStyle name="Vírgula 4 2 2 2 2 3 2" xfId="5182" xr:uid="{00000000-0005-0000-0000-00000A150000}"/>
    <cellStyle name="Vírgula 4 2 2 2 2 4" xfId="3723" xr:uid="{00000000-0005-0000-0000-00000B150000}"/>
    <cellStyle name="Vírgula 4 2 2 2 3" xfId="1456" xr:uid="{00000000-0005-0000-0000-00000C150000}"/>
    <cellStyle name="Vírgula 4 2 2 2 3 2" xfId="2736" xr:uid="{00000000-0005-0000-0000-00000D150000}"/>
    <cellStyle name="Vírgula 4 2 2 2 3 2 2" xfId="5432" xr:uid="{00000000-0005-0000-0000-00000E150000}"/>
    <cellStyle name="Vírgula 4 2 2 2 3 3" xfId="4152" xr:uid="{00000000-0005-0000-0000-00000F150000}"/>
    <cellStyle name="Vírgula 4 2 2 2 4" xfId="2236" xr:uid="{00000000-0005-0000-0000-000010150000}"/>
    <cellStyle name="Vírgula 4 2 2 2 4 2" xfId="4932" xr:uid="{00000000-0005-0000-0000-000011150000}"/>
    <cellStyle name="Vírgula 4 2 2 2 5" xfId="3386" xr:uid="{00000000-0005-0000-0000-000012150000}"/>
    <cellStyle name="Vírgula 4 2 2 3" xfId="853" xr:uid="{00000000-0005-0000-0000-000013150000}"/>
    <cellStyle name="Vírgula 4 2 2 3 2" xfId="1620" xr:uid="{00000000-0005-0000-0000-000014150000}"/>
    <cellStyle name="Vírgula 4 2 2 3 2 2" xfId="2861" xr:uid="{00000000-0005-0000-0000-000015150000}"/>
    <cellStyle name="Vírgula 4 2 2 3 2 2 2" xfId="5557" xr:uid="{00000000-0005-0000-0000-000016150000}"/>
    <cellStyle name="Vírgula 4 2 2 3 2 3" xfId="4316" xr:uid="{00000000-0005-0000-0000-000017150000}"/>
    <cellStyle name="Vírgula 4 2 2 3 3" xfId="2361" xr:uid="{00000000-0005-0000-0000-000018150000}"/>
    <cellStyle name="Vírgula 4 2 2 3 3 2" xfId="5057" xr:uid="{00000000-0005-0000-0000-000019150000}"/>
    <cellStyle name="Vírgula 4 2 2 3 4" xfId="3550" xr:uid="{00000000-0005-0000-0000-00001A150000}"/>
    <cellStyle name="Vírgula 4 2 2 4" xfId="1283" xr:uid="{00000000-0005-0000-0000-00001B150000}"/>
    <cellStyle name="Vírgula 4 2 2 4 2" xfId="2611" xr:uid="{00000000-0005-0000-0000-00001C150000}"/>
    <cellStyle name="Vírgula 4 2 2 4 2 2" xfId="5307" xr:uid="{00000000-0005-0000-0000-00001D150000}"/>
    <cellStyle name="Vírgula 4 2 2 4 3" xfId="3979" xr:uid="{00000000-0005-0000-0000-00001E150000}"/>
    <cellStyle name="Vírgula 4 2 2 5" xfId="2111" xr:uid="{00000000-0005-0000-0000-00001F150000}"/>
    <cellStyle name="Vírgula 4 2 2 5 2" xfId="4807" xr:uid="{00000000-0005-0000-0000-000020150000}"/>
    <cellStyle name="Vírgula 4 2 2 6" xfId="3213" xr:uid="{00000000-0005-0000-0000-000021150000}"/>
    <cellStyle name="Vírgula 4 2 3" xfId="626" xr:uid="{00000000-0005-0000-0000-000022150000}"/>
    <cellStyle name="Vírgula 4 2 3 2" xfId="963" xr:uid="{00000000-0005-0000-0000-000023150000}"/>
    <cellStyle name="Vírgula 4 2 3 2 2" xfId="1730" xr:uid="{00000000-0005-0000-0000-000024150000}"/>
    <cellStyle name="Vírgula 4 2 3 2 2 2" xfId="2924" xr:uid="{00000000-0005-0000-0000-000025150000}"/>
    <cellStyle name="Vírgula 4 2 3 2 2 2 2" xfId="5620" xr:uid="{00000000-0005-0000-0000-000026150000}"/>
    <cellStyle name="Vírgula 4 2 3 2 2 3" xfId="4426" xr:uid="{00000000-0005-0000-0000-000027150000}"/>
    <cellStyle name="Vírgula 4 2 3 2 3" xfId="2424" xr:uid="{00000000-0005-0000-0000-000028150000}"/>
    <cellStyle name="Vírgula 4 2 3 2 3 2" xfId="5120" xr:uid="{00000000-0005-0000-0000-000029150000}"/>
    <cellStyle name="Vírgula 4 2 3 2 4" xfId="3660" xr:uid="{00000000-0005-0000-0000-00002A150000}"/>
    <cellStyle name="Vírgula 4 2 3 3" xfId="1393" xr:uid="{00000000-0005-0000-0000-00002B150000}"/>
    <cellStyle name="Vírgula 4 2 3 3 2" xfId="2674" xr:uid="{00000000-0005-0000-0000-00002C150000}"/>
    <cellStyle name="Vírgula 4 2 3 3 2 2" xfId="5370" xr:uid="{00000000-0005-0000-0000-00002D150000}"/>
    <cellStyle name="Vírgula 4 2 3 3 3" xfId="4089" xr:uid="{00000000-0005-0000-0000-00002E150000}"/>
    <cellStyle name="Vírgula 4 2 3 4" xfId="2174" xr:uid="{00000000-0005-0000-0000-00002F150000}"/>
    <cellStyle name="Vírgula 4 2 3 4 2" xfId="4870" xr:uid="{00000000-0005-0000-0000-000030150000}"/>
    <cellStyle name="Vírgula 4 2 3 5" xfId="3323" xr:uid="{00000000-0005-0000-0000-000031150000}"/>
    <cellStyle name="Vírgula 4 2 4" xfId="789" xr:uid="{00000000-0005-0000-0000-000032150000}"/>
    <cellStyle name="Vírgula 4 2 4 2" xfId="1556" xr:uid="{00000000-0005-0000-0000-000033150000}"/>
    <cellStyle name="Vírgula 4 2 4 2 2" xfId="2799" xr:uid="{00000000-0005-0000-0000-000034150000}"/>
    <cellStyle name="Vírgula 4 2 4 2 2 2" xfId="5495" xr:uid="{00000000-0005-0000-0000-000035150000}"/>
    <cellStyle name="Vírgula 4 2 4 2 3" xfId="4252" xr:uid="{00000000-0005-0000-0000-000036150000}"/>
    <cellStyle name="Vírgula 4 2 4 3" xfId="2299" xr:uid="{00000000-0005-0000-0000-000037150000}"/>
    <cellStyle name="Vírgula 4 2 4 3 2" xfId="4995" xr:uid="{00000000-0005-0000-0000-000038150000}"/>
    <cellStyle name="Vírgula 4 2 4 4" xfId="3486" xr:uid="{00000000-0005-0000-0000-000039150000}"/>
    <cellStyle name="Vírgula 4 2 5" xfId="1220" xr:uid="{00000000-0005-0000-0000-00003A150000}"/>
    <cellStyle name="Vírgula 4 2 5 2" xfId="2549" xr:uid="{00000000-0005-0000-0000-00003B150000}"/>
    <cellStyle name="Vírgula 4 2 5 2 2" xfId="5245" xr:uid="{00000000-0005-0000-0000-00003C150000}"/>
    <cellStyle name="Vírgula 4 2 5 3" xfId="3916" xr:uid="{00000000-0005-0000-0000-00003D150000}"/>
    <cellStyle name="Vírgula 4 2 6" xfId="2049" xr:uid="{00000000-0005-0000-0000-00003E150000}"/>
    <cellStyle name="Vírgula 4 2 6 2" xfId="4745" xr:uid="{00000000-0005-0000-0000-00003F150000}"/>
    <cellStyle name="Vírgula 4 2 7" xfId="3149" xr:uid="{00000000-0005-0000-0000-000040150000}"/>
    <cellStyle name="Vírgula 4 2 8" xfId="5852" xr:uid="{00000000-0005-0000-0000-000041150000}"/>
    <cellStyle name="Vírgula 4 3" xfId="158" xr:uid="{00000000-0005-0000-0000-000042150000}"/>
    <cellStyle name="Vírgula 4 3 2" xfId="1993" xr:uid="{00000000-0005-0000-0000-000043150000}"/>
    <cellStyle name="Vírgula 4 3 2 2" xfId="4689" xr:uid="{00000000-0005-0000-0000-000044150000}"/>
    <cellStyle name="Vírgula 4 3 3" xfId="3086" xr:uid="{00000000-0005-0000-0000-000045150000}"/>
    <cellStyle name="Vírgula 4 4" xfId="1974" xr:uid="{00000000-0005-0000-0000-000046150000}"/>
    <cellStyle name="Vírgula 4 4 2" xfId="4670" xr:uid="{00000000-0005-0000-0000-000047150000}"/>
    <cellStyle name="Vírgula 4 5" xfId="3065" xr:uid="{00000000-0005-0000-0000-000048150000}"/>
    <cellStyle name="Vírgula 5" xfId="97" xr:uid="{00000000-0005-0000-0000-000049150000}"/>
    <cellStyle name="Vírgula 5 2" xfId="82" xr:uid="{00000000-0005-0000-0000-00004A150000}"/>
    <cellStyle name="Vírgula 5 2 2" xfId="492" xr:uid="{00000000-0005-0000-0000-00004B150000}"/>
    <cellStyle name="Vírgula 5 2 2 2" xfId="557" xr:uid="{00000000-0005-0000-0000-00004C150000}"/>
    <cellStyle name="Vírgula 5 2 2 2 2" xfId="731" xr:uid="{00000000-0005-0000-0000-00004D150000}"/>
    <cellStyle name="Vírgula 5 2 2 2 2 2" xfId="1068" xr:uid="{00000000-0005-0000-0000-00004E150000}"/>
    <cellStyle name="Vírgula 5 2 2 2 2 2 2" xfId="1835" xr:uid="{00000000-0005-0000-0000-00004F150000}"/>
    <cellStyle name="Vírgula 5 2 2 2 2 2 2 2" xfId="3028" xr:uid="{00000000-0005-0000-0000-000050150000}"/>
    <cellStyle name="Vírgula 5 2 2 2 2 2 2 2 2" xfId="5724" xr:uid="{00000000-0005-0000-0000-000051150000}"/>
    <cellStyle name="Vírgula 5 2 2 2 2 2 2 3" xfId="4531" xr:uid="{00000000-0005-0000-0000-000052150000}"/>
    <cellStyle name="Vírgula 5 2 2 2 2 2 3" xfId="2528" xr:uid="{00000000-0005-0000-0000-000053150000}"/>
    <cellStyle name="Vírgula 5 2 2 2 2 2 3 2" xfId="5224" xr:uid="{00000000-0005-0000-0000-000054150000}"/>
    <cellStyle name="Vírgula 5 2 2 2 2 2 4" xfId="3765" xr:uid="{00000000-0005-0000-0000-000055150000}"/>
    <cellStyle name="Vírgula 5 2 2 2 2 3" xfId="1498" xr:uid="{00000000-0005-0000-0000-000056150000}"/>
    <cellStyle name="Vírgula 5 2 2 2 2 3 2" xfId="2778" xr:uid="{00000000-0005-0000-0000-000057150000}"/>
    <cellStyle name="Vírgula 5 2 2 2 2 3 2 2" xfId="5474" xr:uid="{00000000-0005-0000-0000-000058150000}"/>
    <cellStyle name="Vírgula 5 2 2 2 2 3 3" xfId="4194" xr:uid="{00000000-0005-0000-0000-000059150000}"/>
    <cellStyle name="Vírgula 5 2 2 2 2 4" xfId="2278" xr:uid="{00000000-0005-0000-0000-00005A150000}"/>
    <cellStyle name="Vírgula 5 2 2 2 2 4 2" xfId="4974" xr:uid="{00000000-0005-0000-0000-00005B150000}"/>
    <cellStyle name="Vírgula 5 2 2 2 2 5" xfId="3428" xr:uid="{00000000-0005-0000-0000-00005C150000}"/>
    <cellStyle name="Vírgula 5 2 2 2 3" xfId="895" xr:uid="{00000000-0005-0000-0000-00005D150000}"/>
    <cellStyle name="Vírgula 5 2 2 2 3 2" xfId="1662" xr:uid="{00000000-0005-0000-0000-00005E150000}"/>
    <cellStyle name="Vírgula 5 2 2 2 3 2 2" xfId="2903" xr:uid="{00000000-0005-0000-0000-00005F150000}"/>
    <cellStyle name="Vírgula 5 2 2 2 3 2 2 2" xfId="5599" xr:uid="{00000000-0005-0000-0000-000060150000}"/>
    <cellStyle name="Vírgula 5 2 2 2 3 2 3" xfId="4358" xr:uid="{00000000-0005-0000-0000-000061150000}"/>
    <cellStyle name="Vírgula 5 2 2 2 3 3" xfId="2403" xr:uid="{00000000-0005-0000-0000-000062150000}"/>
    <cellStyle name="Vírgula 5 2 2 2 3 3 2" xfId="5099" xr:uid="{00000000-0005-0000-0000-000063150000}"/>
    <cellStyle name="Vírgula 5 2 2 2 3 4" xfId="3592" xr:uid="{00000000-0005-0000-0000-000064150000}"/>
    <cellStyle name="Vírgula 5 2 2 2 4" xfId="1325" xr:uid="{00000000-0005-0000-0000-000065150000}"/>
    <cellStyle name="Vírgula 5 2 2 2 4 2" xfId="2653" xr:uid="{00000000-0005-0000-0000-000066150000}"/>
    <cellStyle name="Vírgula 5 2 2 2 4 2 2" xfId="5349" xr:uid="{00000000-0005-0000-0000-000067150000}"/>
    <cellStyle name="Vírgula 5 2 2 2 4 3" xfId="4021" xr:uid="{00000000-0005-0000-0000-000068150000}"/>
    <cellStyle name="Vírgula 5 2 2 2 5" xfId="2153" xr:uid="{00000000-0005-0000-0000-000069150000}"/>
    <cellStyle name="Vírgula 5 2 2 2 5 2" xfId="4849" xr:uid="{00000000-0005-0000-0000-00006A150000}"/>
    <cellStyle name="Vírgula 5 2 2 2 6" xfId="3255" xr:uid="{00000000-0005-0000-0000-00006B150000}"/>
    <cellStyle name="Vírgula 5 2 2 3" xfId="668" xr:uid="{00000000-0005-0000-0000-00006C150000}"/>
    <cellStyle name="Vírgula 5 2 2 3 2" xfId="1005" xr:uid="{00000000-0005-0000-0000-00006D150000}"/>
    <cellStyle name="Vírgula 5 2 2 3 2 2" xfId="1772" xr:uid="{00000000-0005-0000-0000-00006E150000}"/>
    <cellStyle name="Vírgula 5 2 2 3 2 2 2" xfId="2966" xr:uid="{00000000-0005-0000-0000-00006F150000}"/>
    <cellStyle name="Vírgula 5 2 2 3 2 2 2 2" xfId="5662" xr:uid="{00000000-0005-0000-0000-000070150000}"/>
    <cellStyle name="Vírgula 5 2 2 3 2 2 3" xfId="4468" xr:uid="{00000000-0005-0000-0000-000071150000}"/>
    <cellStyle name="Vírgula 5 2 2 3 2 3" xfId="2466" xr:uid="{00000000-0005-0000-0000-000072150000}"/>
    <cellStyle name="Vírgula 5 2 2 3 2 3 2" xfId="5162" xr:uid="{00000000-0005-0000-0000-000073150000}"/>
    <cellStyle name="Vírgula 5 2 2 3 2 4" xfId="3702" xr:uid="{00000000-0005-0000-0000-000074150000}"/>
    <cellStyle name="Vírgula 5 2 2 3 3" xfId="1435" xr:uid="{00000000-0005-0000-0000-000075150000}"/>
    <cellStyle name="Vírgula 5 2 2 3 3 2" xfId="2716" xr:uid="{00000000-0005-0000-0000-000076150000}"/>
    <cellStyle name="Vírgula 5 2 2 3 3 2 2" xfId="5412" xr:uid="{00000000-0005-0000-0000-000077150000}"/>
    <cellStyle name="Vírgula 5 2 2 3 3 3" xfId="4131" xr:uid="{00000000-0005-0000-0000-000078150000}"/>
    <cellStyle name="Vírgula 5 2 2 3 4" xfId="2216" xr:uid="{00000000-0005-0000-0000-000079150000}"/>
    <cellStyle name="Vírgula 5 2 2 3 4 2" xfId="4912" xr:uid="{00000000-0005-0000-0000-00007A150000}"/>
    <cellStyle name="Vírgula 5 2 2 3 5" xfId="3365" xr:uid="{00000000-0005-0000-0000-00007B150000}"/>
    <cellStyle name="Vírgula 5 2 2 4" xfId="831" xr:uid="{00000000-0005-0000-0000-00007C150000}"/>
    <cellStyle name="Vírgula 5 2 2 4 2" xfId="1598" xr:uid="{00000000-0005-0000-0000-00007D150000}"/>
    <cellStyle name="Vírgula 5 2 2 4 2 2" xfId="2841" xr:uid="{00000000-0005-0000-0000-00007E150000}"/>
    <cellStyle name="Vírgula 5 2 2 4 2 2 2" xfId="5537" xr:uid="{00000000-0005-0000-0000-00007F150000}"/>
    <cellStyle name="Vírgula 5 2 2 4 2 3" xfId="4294" xr:uid="{00000000-0005-0000-0000-000080150000}"/>
    <cellStyle name="Vírgula 5 2 2 4 3" xfId="2341" xr:uid="{00000000-0005-0000-0000-000081150000}"/>
    <cellStyle name="Vírgula 5 2 2 4 3 2" xfId="5037" xr:uid="{00000000-0005-0000-0000-000082150000}"/>
    <cellStyle name="Vírgula 5 2 2 4 4" xfId="3528" xr:uid="{00000000-0005-0000-0000-000083150000}"/>
    <cellStyle name="Vírgula 5 2 2 5" xfId="1262" xr:uid="{00000000-0005-0000-0000-000084150000}"/>
    <cellStyle name="Vírgula 5 2 2 5 2" xfId="2591" xr:uid="{00000000-0005-0000-0000-000085150000}"/>
    <cellStyle name="Vírgula 5 2 2 5 2 2" xfId="5287" xr:uid="{00000000-0005-0000-0000-000086150000}"/>
    <cellStyle name="Vírgula 5 2 2 5 3" xfId="3958" xr:uid="{00000000-0005-0000-0000-000087150000}"/>
    <cellStyle name="Vírgula 5 2 2 6" xfId="2091" xr:uid="{00000000-0005-0000-0000-000088150000}"/>
    <cellStyle name="Vírgula 5 2 2 6 2" xfId="4787" xr:uid="{00000000-0005-0000-0000-000089150000}"/>
    <cellStyle name="Vírgula 5 2 2 7" xfId="3191" xr:uid="{00000000-0005-0000-0000-00008A150000}"/>
    <cellStyle name="Vírgula 5 2 3" xfId="502" xr:uid="{00000000-0005-0000-0000-00008B150000}"/>
    <cellStyle name="Vírgula 5 2 3 2" xfId="677" xr:uid="{00000000-0005-0000-0000-00008C150000}"/>
    <cellStyle name="Vírgula 5 2 3 2 2" xfId="1014" xr:uid="{00000000-0005-0000-0000-00008D150000}"/>
    <cellStyle name="Vírgula 5 2 3 2 2 2" xfId="1781" xr:uid="{00000000-0005-0000-0000-00008E150000}"/>
    <cellStyle name="Vírgula 5 2 3 2 2 2 2" xfId="2974" xr:uid="{00000000-0005-0000-0000-00008F150000}"/>
    <cellStyle name="Vírgula 5 2 3 2 2 2 2 2" xfId="5670" xr:uid="{00000000-0005-0000-0000-000090150000}"/>
    <cellStyle name="Vírgula 5 2 3 2 2 2 3" xfId="4477" xr:uid="{00000000-0005-0000-0000-000091150000}"/>
    <cellStyle name="Vírgula 5 2 3 2 2 3" xfId="2474" xr:uid="{00000000-0005-0000-0000-000092150000}"/>
    <cellStyle name="Vírgula 5 2 3 2 2 3 2" xfId="5170" xr:uid="{00000000-0005-0000-0000-000093150000}"/>
    <cellStyle name="Vírgula 5 2 3 2 2 4" xfId="3711" xr:uid="{00000000-0005-0000-0000-000094150000}"/>
    <cellStyle name="Vírgula 5 2 3 2 3" xfId="1444" xr:uid="{00000000-0005-0000-0000-000095150000}"/>
    <cellStyle name="Vírgula 5 2 3 2 3 2" xfId="2724" xr:uid="{00000000-0005-0000-0000-000096150000}"/>
    <cellStyle name="Vírgula 5 2 3 2 3 2 2" xfId="5420" xr:uid="{00000000-0005-0000-0000-000097150000}"/>
    <cellStyle name="Vírgula 5 2 3 2 3 3" xfId="4140" xr:uid="{00000000-0005-0000-0000-000098150000}"/>
    <cellStyle name="Vírgula 5 2 3 2 4" xfId="2224" xr:uid="{00000000-0005-0000-0000-000099150000}"/>
    <cellStyle name="Vírgula 5 2 3 2 4 2" xfId="4920" xr:uid="{00000000-0005-0000-0000-00009A150000}"/>
    <cellStyle name="Vírgula 5 2 3 2 5" xfId="3374" xr:uid="{00000000-0005-0000-0000-00009B150000}"/>
    <cellStyle name="Vírgula 5 2 3 3" xfId="840" xr:uid="{00000000-0005-0000-0000-00009C150000}"/>
    <cellStyle name="Vírgula 5 2 3 3 2" xfId="1607" xr:uid="{00000000-0005-0000-0000-00009D150000}"/>
    <cellStyle name="Vírgula 5 2 3 3 2 2" xfId="2849" xr:uid="{00000000-0005-0000-0000-00009E150000}"/>
    <cellStyle name="Vírgula 5 2 3 3 2 2 2" xfId="5545" xr:uid="{00000000-0005-0000-0000-00009F150000}"/>
    <cellStyle name="Vírgula 5 2 3 3 2 3" xfId="4303" xr:uid="{00000000-0005-0000-0000-0000A0150000}"/>
    <cellStyle name="Vírgula 5 2 3 3 3" xfId="2349" xr:uid="{00000000-0005-0000-0000-0000A1150000}"/>
    <cellStyle name="Vírgula 5 2 3 3 3 2" xfId="5045" xr:uid="{00000000-0005-0000-0000-0000A2150000}"/>
    <cellStyle name="Vírgula 5 2 3 3 4" xfId="3537" xr:uid="{00000000-0005-0000-0000-0000A3150000}"/>
    <cellStyle name="Vírgula 5 2 3 4" xfId="1270" xr:uid="{00000000-0005-0000-0000-0000A4150000}"/>
    <cellStyle name="Vírgula 5 2 3 4 2" xfId="2599" xr:uid="{00000000-0005-0000-0000-0000A5150000}"/>
    <cellStyle name="Vírgula 5 2 3 4 2 2" xfId="5295" xr:uid="{00000000-0005-0000-0000-0000A6150000}"/>
    <cellStyle name="Vírgula 5 2 3 4 3" xfId="3966" xr:uid="{00000000-0005-0000-0000-0000A7150000}"/>
    <cellStyle name="Vírgula 5 2 3 5" xfId="2099" xr:uid="{00000000-0005-0000-0000-0000A8150000}"/>
    <cellStyle name="Vírgula 5 2 3 5 2" xfId="4795" xr:uid="{00000000-0005-0000-0000-0000A9150000}"/>
    <cellStyle name="Vírgula 5 2 3 6" xfId="3200" xr:uid="{00000000-0005-0000-0000-0000AA150000}"/>
    <cellStyle name="Vírgula 5 2 4" xfId="614" xr:uid="{00000000-0005-0000-0000-0000AB150000}"/>
    <cellStyle name="Vírgula 5 2 4 2" xfId="951" xr:uid="{00000000-0005-0000-0000-0000AC150000}"/>
    <cellStyle name="Vírgula 5 2 4 2 2" xfId="1718" xr:uid="{00000000-0005-0000-0000-0000AD150000}"/>
    <cellStyle name="Vírgula 5 2 4 2 2 2" xfId="2912" xr:uid="{00000000-0005-0000-0000-0000AE150000}"/>
    <cellStyle name="Vírgula 5 2 4 2 2 2 2" xfId="5608" xr:uid="{00000000-0005-0000-0000-0000AF150000}"/>
    <cellStyle name="Vírgula 5 2 4 2 2 3" xfId="4414" xr:uid="{00000000-0005-0000-0000-0000B0150000}"/>
    <cellStyle name="Vírgula 5 2 4 2 3" xfId="2412" xr:uid="{00000000-0005-0000-0000-0000B1150000}"/>
    <cellStyle name="Vírgula 5 2 4 2 3 2" xfId="5108" xr:uid="{00000000-0005-0000-0000-0000B2150000}"/>
    <cellStyle name="Vírgula 5 2 4 2 4" xfId="3648" xr:uid="{00000000-0005-0000-0000-0000B3150000}"/>
    <cellStyle name="Vírgula 5 2 4 3" xfId="1381" xr:uid="{00000000-0005-0000-0000-0000B4150000}"/>
    <cellStyle name="Vírgula 5 2 4 3 2" xfId="2662" xr:uid="{00000000-0005-0000-0000-0000B5150000}"/>
    <cellStyle name="Vírgula 5 2 4 3 2 2" xfId="5358" xr:uid="{00000000-0005-0000-0000-0000B6150000}"/>
    <cellStyle name="Vírgula 5 2 4 3 3" xfId="4077" xr:uid="{00000000-0005-0000-0000-0000B7150000}"/>
    <cellStyle name="Vírgula 5 2 4 4" xfId="2162" xr:uid="{00000000-0005-0000-0000-0000B8150000}"/>
    <cellStyle name="Vírgula 5 2 4 4 2" xfId="4858" xr:uid="{00000000-0005-0000-0000-0000B9150000}"/>
    <cellStyle name="Vírgula 5 2 4 5" xfId="3311" xr:uid="{00000000-0005-0000-0000-0000BA150000}"/>
    <cellStyle name="Vírgula 5 2 5" xfId="776" xr:uid="{00000000-0005-0000-0000-0000BB150000}"/>
    <cellStyle name="Vírgula 5 2 5 2" xfId="1543" xr:uid="{00000000-0005-0000-0000-0000BC150000}"/>
    <cellStyle name="Vírgula 5 2 5 2 2" xfId="2787" xr:uid="{00000000-0005-0000-0000-0000BD150000}"/>
    <cellStyle name="Vírgula 5 2 5 2 2 2" xfId="5483" xr:uid="{00000000-0005-0000-0000-0000BE150000}"/>
    <cellStyle name="Vírgula 5 2 5 2 3" xfId="4239" xr:uid="{00000000-0005-0000-0000-0000BF150000}"/>
    <cellStyle name="Vírgula 5 2 5 3" xfId="2287" xr:uid="{00000000-0005-0000-0000-0000C0150000}"/>
    <cellStyle name="Vírgula 5 2 5 3 2" xfId="4983" xr:uid="{00000000-0005-0000-0000-0000C1150000}"/>
    <cellStyle name="Vírgula 5 2 5 4" xfId="3473" xr:uid="{00000000-0005-0000-0000-0000C2150000}"/>
    <cellStyle name="Vírgula 5 2 6" xfId="1208" xr:uid="{00000000-0005-0000-0000-0000C3150000}"/>
    <cellStyle name="Vírgula 5 2 6 2" xfId="2537" xr:uid="{00000000-0005-0000-0000-0000C4150000}"/>
    <cellStyle name="Vírgula 5 2 6 2 2" xfId="5233" xr:uid="{00000000-0005-0000-0000-0000C5150000}"/>
    <cellStyle name="Vírgula 5 2 6 3" xfId="3904" xr:uid="{00000000-0005-0000-0000-0000C6150000}"/>
    <cellStyle name="Vírgula 5 2 7" xfId="428" xr:uid="{00000000-0005-0000-0000-0000C7150000}"/>
    <cellStyle name="Vírgula 5 2 7 2" xfId="2037" xr:uid="{00000000-0005-0000-0000-0000C8150000}"/>
    <cellStyle name="Vírgula 5 2 7 2 2" xfId="4733" xr:uid="{00000000-0005-0000-0000-0000C9150000}"/>
    <cellStyle name="Vírgula 5 2 7 3" xfId="3136" xr:uid="{00000000-0005-0000-0000-0000CA150000}"/>
    <cellStyle name="Vírgula 5 2 8" xfId="1980" xr:uid="{00000000-0005-0000-0000-0000CB150000}"/>
    <cellStyle name="Vírgula 5 2 8 2" xfId="4676" xr:uid="{00000000-0005-0000-0000-0000CC150000}"/>
    <cellStyle name="Vírgula 5 2 9" xfId="3072" xr:uid="{00000000-0005-0000-0000-0000CD150000}"/>
    <cellStyle name="Vírgula 5 3" xfId="448" xr:uid="{00000000-0005-0000-0000-0000CE150000}"/>
    <cellStyle name="Vírgula 5 3 2" xfId="512" xr:uid="{00000000-0005-0000-0000-0000CF150000}"/>
    <cellStyle name="Vírgula 5 3 2 2" xfId="686" xr:uid="{00000000-0005-0000-0000-0000D0150000}"/>
    <cellStyle name="Vírgula 5 3 2 2 2" xfId="1023" xr:uid="{00000000-0005-0000-0000-0000D1150000}"/>
    <cellStyle name="Vírgula 5 3 2 2 2 2" xfId="1790" xr:uid="{00000000-0005-0000-0000-0000D2150000}"/>
    <cellStyle name="Vírgula 5 3 2 2 2 2 2" xfId="2983" xr:uid="{00000000-0005-0000-0000-0000D3150000}"/>
    <cellStyle name="Vírgula 5 3 2 2 2 2 2 2" xfId="5679" xr:uid="{00000000-0005-0000-0000-0000D4150000}"/>
    <cellStyle name="Vírgula 5 3 2 2 2 2 3" xfId="4486" xr:uid="{00000000-0005-0000-0000-0000D5150000}"/>
    <cellStyle name="Vírgula 5 3 2 2 2 3" xfId="2483" xr:uid="{00000000-0005-0000-0000-0000D6150000}"/>
    <cellStyle name="Vírgula 5 3 2 2 2 3 2" xfId="5179" xr:uid="{00000000-0005-0000-0000-0000D7150000}"/>
    <cellStyle name="Vírgula 5 3 2 2 2 4" xfId="3720" xr:uid="{00000000-0005-0000-0000-0000D8150000}"/>
    <cellStyle name="Vírgula 5 3 2 2 3" xfId="1453" xr:uid="{00000000-0005-0000-0000-0000D9150000}"/>
    <cellStyle name="Vírgula 5 3 2 2 3 2" xfId="2733" xr:uid="{00000000-0005-0000-0000-0000DA150000}"/>
    <cellStyle name="Vírgula 5 3 2 2 3 2 2" xfId="5429" xr:uid="{00000000-0005-0000-0000-0000DB150000}"/>
    <cellStyle name="Vírgula 5 3 2 2 3 3" xfId="4149" xr:uid="{00000000-0005-0000-0000-0000DC150000}"/>
    <cellStyle name="Vírgula 5 3 2 2 4" xfId="2233" xr:uid="{00000000-0005-0000-0000-0000DD150000}"/>
    <cellStyle name="Vírgula 5 3 2 2 4 2" xfId="4929" xr:uid="{00000000-0005-0000-0000-0000DE150000}"/>
    <cellStyle name="Vírgula 5 3 2 2 5" xfId="3383" xr:uid="{00000000-0005-0000-0000-0000DF150000}"/>
    <cellStyle name="Vírgula 5 3 2 3" xfId="850" xr:uid="{00000000-0005-0000-0000-0000E0150000}"/>
    <cellStyle name="Vírgula 5 3 2 3 2" xfId="1617" xr:uid="{00000000-0005-0000-0000-0000E1150000}"/>
    <cellStyle name="Vírgula 5 3 2 3 2 2" xfId="2858" xr:uid="{00000000-0005-0000-0000-0000E2150000}"/>
    <cellStyle name="Vírgula 5 3 2 3 2 2 2" xfId="5554" xr:uid="{00000000-0005-0000-0000-0000E3150000}"/>
    <cellStyle name="Vírgula 5 3 2 3 2 3" xfId="4313" xr:uid="{00000000-0005-0000-0000-0000E4150000}"/>
    <cellStyle name="Vírgula 5 3 2 3 3" xfId="2358" xr:uid="{00000000-0005-0000-0000-0000E5150000}"/>
    <cellStyle name="Vírgula 5 3 2 3 3 2" xfId="5054" xr:uid="{00000000-0005-0000-0000-0000E6150000}"/>
    <cellStyle name="Vírgula 5 3 2 3 4" xfId="3547" xr:uid="{00000000-0005-0000-0000-0000E7150000}"/>
    <cellStyle name="Vírgula 5 3 2 4" xfId="1280" xr:uid="{00000000-0005-0000-0000-0000E8150000}"/>
    <cellStyle name="Vírgula 5 3 2 4 2" xfId="2608" xr:uid="{00000000-0005-0000-0000-0000E9150000}"/>
    <cellStyle name="Vírgula 5 3 2 4 2 2" xfId="5304" xr:uid="{00000000-0005-0000-0000-0000EA150000}"/>
    <cellStyle name="Vírgula 5 3 2 4 3" xfId="3976" xr:uid="{00000000-0005-0000-0000-0000EB150000}"/>
    <cellStyle name="Vírgula 5 3 2 5" xfId="2108" xr:uid="{00000000-0005-0000-0000-0000EC150000}"/>
    <cellStyle name="Vírgula 5 3 2 5 2" xfId="4804" xr:uid="{00000000-0005-0000-0000-0000ED150000}"/>
    <cellStyle name="Vírgula 5 3 2 6" xfId="3210" xr:uid="{00000000-0005-0000-0000-0000EE150000}"/>
    <cellStyle name="Vírgula 5 3 3" xfId="623" xr:uid="{00000000-0005-0000-0000-0000EF150000}"/>
    <cellStyle name="Vírgula 5 3 3 2" xfId="960" xr:uid="{00000000-0005-0000-0000-0000F0150000}"/>
    <cellStyle name="Vírgula 5 3 3 2 2" xfId="1727" xr:uid="{00000000-0005-0000-0000-0000F1150000}"/>
    <cellStyle name="Vírgula 5 3 3 2 2 2" xfId="2921" xr:uid="{00000000-0005-0000-0000-0000F2150000}"/>
    <cellStyle name="Vírgula 5 3 3 2 2 2 2" xfId="5617" xr:uid="{00000000-0005-0000-0000-0000F3150000}"/>
    <cellStyle name="Vírgula 5 3 3 2 2 3" xfId="4423" xr:uid="{00000000-0005-0000-0000-0000F4150000}"/>
    <cellStyle name="Vírgula 5 3 3 2 3" xfId="2421" xr:uid="{00000000-0005-0000-0000-0000F5150000}"/>
    <cellStyle name="Vírgula 5 3 3 2 3 2" xfId="5117" xr:uid="{00000000-0005-0000-0000-0000F6150000}"/>
    <cellStyle name="Vírgula 5 3 3 2 4" xfId="3657" xr:uid="{00000000-0005-0000-0000-0000F7150000}"/>
    <cellStyle name="Vírgula 5 3 3 3" xfId="1390" xr:uid="{00000000-0005-0000-0000-0000F8150000}"/>
    <cellStyle name="Vírgula 5 3 3 3 2" xfId="2671" xr:uid="{00000000-0005-0000-0000-0000F9150000}"/>
    <cellStyle name="Vírgula 5 3 3 3 2 2" xfId="5367" xr:uid="{00000000-0005-0000-0000-0000FA150000}"/>
    <cellStyle name="Vírgula 5 3 3 3 3" xfId="4086" xr:uid="{00000000-0005-0000-0000-0000FB150000}"/>
    <cellStyle name="Vírgula 5 3 3 4" xfId="2171" xr:uid="{00000000-0005-0000-0000-0000FC150000}"/>
    <cellStyle name="Vírgula 5 3 3 4 2" xfId="4867" xr:uid="{00000000-0005-0000-0000-0000FD150000}"/>
    <cellStyle name="Vírgula 5 3 3 5" xfId="3320" xr:uid="{00000000-0005-0000-0000-0000FE150000}"/>
    <cellStyle name="Vírgula 5 3 4" xfId="786" xr:uid="{00000000-0005-0000-0000-0000FF150000}"/>
    <cellStyle name="Vírgula 5 3 4 2" xfId="1553" xr:uid="{00000000-0005-0000-0000-000000160000}"/>
    <cellStyle name="Vírgula 5 3 4 2 2" xfId="2796" xr:uid="{00000000-0005-0000-0000-000001160000}"/>
    <cellStyle name="Vírgula 5 3 4 2 2 2" xfId="5492" xr:uid="{00000000-0005-0000-0000-000002160000}"/>
    <cellStyle name="Vírgula 5 3 4 2 3" xfId="4249" xr:uid="{00000000-0005-0000-0000-000003160000}"/>
    <cellStyle name="Vírgula 5 3 4 3" xfId="2296" xr:uid="{00000000-0005-0000-0000-000004160000}"/>
    <cellStyle name="Vírgula 5 3 4 3 2" xfId="4992" xr:uid="{00000000-0005-0000-0000-000005160000}"/>
    <cellStyle name="Vírgula 5 3 4 4" xfId="3483" xr:uid="{00000000-0005-0000-0000-000006160000}"/>
    <cellStyle name="Vírgula 5 3 5" xfId="1217" xr:uid="{00000000-0005-0000-0000-000007160000}"/>
    <cellStyle name="Vírgula 5 3 5 2" xfId="2546" xr:uid="{00000000-0005-0000-0000-000008160000}"/>
    <cellStyle name="Vírgula 5 3 5 2 2" xfId="5242" xr:uid="{00000000-0005-0000-0000-000009160000}"/>
    <cellStyle name="Vírgula 5 3 5 3" xfId="3913" xr:uid="{00000000-0005-0000-0000-00000A160000}"/>
    <cellStyle name="Vírgula 5 3 6" xfId="2047" xr:uid="{00000000-0005-0000-0000-00000B160000}"/>
    <cellStyle name="Vírgula 5 3 6 2" xfId="4743" xr:uid="{00000000-0005-0000-0000-00000C160000}"/>
    <cellStyle name="Vírgula 5 3 7" xfId="3147" xr:uid="{00000000-0005-0000-0000-00000D160000}"/>
    <cellStyle name="Vírgula 5 4" xfId="563" xr:uid="{00000000-0005-0000-0000-00000E160000}"/>
    <cellStyle name="Vírgula 5 4 2" xfId="734" xr:uid="{00000000-0005-0000-0000-00000F160000}"/>
    <cellStyle name="Vírgula 5 4 2 2" xfId="1071" xr:uid="{00000000-0005-0000-0000-000010160000}"/>
    <cellStyle name="Vírgula 5 4 2 2 2" xfId="1838" xr:uid="{00000000-0005-0000-0000-000011160000}"/>
    <cellStyle name="Vírgula 5 4 2 2 2 2" xfId="3031" xr:uid="{00000000-0005-0000-0000-000012160000}"/>
    <cellStyle name="Vírgula 5 4 2 2 2 2 2" xfId="5727" xr:uid="{00000000-0005-0000-0000-000013160000}"/>
    <cellStyle name="Vírgula 5 4 2 2 2 3" xfId="4534" xr:uid="{00000000-0005-0000-0000-000014160000}"/>
    <cellStyle name="Vírgula 5 4 2 2 3" xfId="2531" xr:uid="{00000000-0005-0000-0000-000015160000}"/>
    <cellStyle name="Vírgula 5 4 2 2 3 2" xfId="5227" xr:uid="{00000000-0005-0000-0000-000016160000}"/>
    <cellStyle name="Vírgula 5 4 2 2 4" xfId="3768" xr:uid="{00000000-0005-0000-0000-000017160000}"/>
    <cellStyle name="Vírgula 5 4 2 3" xfId="1501" xr:uid="{00000000-0005-0000-0000-000018160000}"/>
    <cellStyle name="Vírgula 5 4 2 3 2" xfId="2781" xr:uid="{00000000-0005-0000-0000-000019160000}"/>
    <cellStyle name="Vírgula 5 4 2 3 2 2" xfId="5477" xr:uid="{00000000-0005-0000-0000-00001A160000}"/>
    <cellStyle name="Vírgula 5 4 2 3 3" xfId="4197" xr:uid="{00000000-0005-0000-0000-00001B160000}"/>
    <cellStyle name="Vírgula 5 4 2 4" xfId="2281" xr:uid="{00000000-0005-0000-0000-00001C160000}"/>
    <cellStyle name="Vírgula 5 4 2 4 2" xfId="4977" xr:uid="{00000000-0005-0000-0000-00001D160000}"/>
    <cellStyle name="Vírgula 5 4 2 5" xfId="3431" xr:uid="{00000000-0005-0000-0000-00001E160000}"/>
    <cellStyle name="Vírgula 5 4 3" xfId="900" xr:uid="{00000000-0005-0000-0000-00001F160000}"/>
    <cellStyle name="Vírgula 5 4 3 2" xfId="1667" xr:uid="{00000000-0005-0000-0000-000020160000}"/>
    <cellStyle name="Vírgula 5 4 3 2 2" xfId="2906" xr:uid="{00000000-0005-0000-0000-000021160000}"/>
    <cellStyle name="Vírgula 5 4 3 2 2 2" xfId="5602" xr:uid="{00000000-0005-0000-0000-000022160000}"/>
    <cellStyle name="Vírgula 5 4 3 2 3" xfId="4363" xr:uid="{00000000-0005-0000-0000-000023160000}"/>
    <cellStyle name="Vírgula 5 4 3 3" xfId="2406" xr:uid="{00000000-0005-0000-0000-000024160000}"/>
    <cellStyle name="Vírgula 5 4 3 3 2" xfId="5102" xr:uid="{00000000-0005-0000-0000-000025160000}"/>
    <cellStyle name="Vírgula 5 4 3 4" xfId="3597" xr:uid="{00000000-0005-0000-0000-000026160000}"/>
    <cellStyle name="Vírgula 5 4 4" xfId="1330" xr:uid="{00000000-0005-0000-0000-000027160000}"/>
    <cellStyle name="Vírgula 5 4 4 2" xfId="2656" xr:uid="{00000000-0005-0000-0000-000028160000}"/>
    <cellStyle name="Vírgula 5 4 4 2 2" xfId="5352" xr:uid="{00000000-0005-0000-0000-000029160000}"/>
    <cellStyle name="Vírgula 5 4 4 3" xfId="4026" xr:uid="{00000000-0005-0000-0000-00002A160000}"/>
    <cellStyle name="Vírgula 5 4 5" xfId="2156" xr:uid="{00000000-0005-0000-0000-00002B160000}"/>
    <cellStyle name="Vírgula 5 4 5 2" xfId="4852" xr:uid="{00000000-0005-0000-0000-00002C160000}"/>
    <cellStyle name="Vírgula 5 4 6" xfId="3260" xr:uid="{00000000-0005-0000-0000-00002D160000}"/>
    <cellStyle name="Vírgula 5 5" xfId="157" xr:uid="{00000000-0005-0000-0000-00002E160000}"/>
    <cellStyle name="Vírgula 5 5 2" xfId="1992" xr:uid="{00000000-0005-0000-0000-00002F160000}"/>
    <cellStyle name="Vírgula 5 5 2 2" xfId="4688" xr:uid="{00000000-0005-0000-0000-000030160000}"/>
    <cellStyle name="Vírgula 5 5 3" xfId="3085" xr:uid="{00000000-0005-0000-0000-000031160000}"/>
    <cellStyle name="Vírgula 5 6" xfId="1984" xr:uid="{00000000-0005-0000-0000-000032160000}"/>
    <cellStyle name="Vírgula 5 6 2" xfId="4680" xr:uid="{00000000-0005-0000-0000-000033160000}"/>
    <cellStyle name="Vírgula 5 7" xfId="3076" xr:uid="{00000000-0005-0000-0000-000034160000}"/>
    <cellStyle name="Vírgula 5 8" xfId="5853" xr:uid="{00000000-0005-0000-0000-000035160000}"/>
    <cellStyle name="Vírgula 6" xfId="98" xr:uid="{00000000-0005-0000-0000-000036160000}"/>
    <cellStyle name="Vírgula 6 2" xfId="493" xr:uid="{00000000-0005-0000-0000-000037160000}"/>
    <cellStyle name="Vírgula 6 2 2" xfId="558" xr:uid="{00000000-0005-0000-0000-000038160000}"/>
    <cellStyle name="Vírgula 6 2 2 2" xfId="732" xr:uid="{00000000-0005-0000-0000-000039160000}"/>
    <cellStyle name="Vírgula 6 2 2 2 2" xfId="1069" xr:uid="{00000000-0005-0000-0000-00003A160000}"/>
    <cellStyle name="Vírgula 6 2 2 2 2 2" xfId="1836" xr:uid="{00000000-0005-0000-0000-00003B160000}"/>
    <cellStyle name="Vírgula 6 2 2 2 2 2 2" xfId="3029" xr:uid="{00000000-0005-0000-0000-00003C160000}"/>
    <cellStyle name="Vírgula 6 2 2 2 2 2 2 2" xfId="5725" xr:uid="{00000000-0005-0000-0000-00003D160000}"/>
    <cellStyle name="Vírgula 6 2 2 2 2 2 3" xfId="4532" xr:uid="{00000000-0005-0000-0000-00003E160000}"/>
    <cellStyle name="Vírgula 6 2 2 2 2 3" xfId="2529" xr:uid="{00000000-0005-0000-0000-00003F160000}"/>
    <cellStyle name="Vírgula 6 2 2 2 2 3 2" xfId="5225" xr:uid="{00000000-0005-0000-0000-000040160000}"/>
    <cellStyle name="Vírgula 6 2 2 2 2 4" xfId="3766" xr:uid="{00000000-0005-0000-0000-000041160000}"/>
    <cellStyle name="Vírgula 6 2 2 2 3" xfId="1499" xr:uid="{00000000-0005-0000-0000-000042160000}"/>
    <cellStyle name="Vírgula 6 2 2 2 3 2" xfId="2779" xr:uid="{00000000-0005-0000-0000-000043160000}"/>
    <cellStyle name="Vírgula 6 2 2 2 3 2 2" xfId="5475" xr:uid="{00000000-0005-0000-0000-000044160000}"/>
    <cellStyle name="Vírgula 6 2 2 2 3 3" xfId="4195" xr:uid="{00000000-0005-0000-0000-000045160000}"/>
    <cellStyle name="Vírgula 6 2 2 2 4" xfId="2279" xr:uid="{00000000-0005-0000-0000-000046160000}"/>
    <cellStyle name="Vírgula 6 2 2 2 4 2" xfId="4975" xr:uid="{00000000-0005-0000-0000-000047160000}"/>
    <cellStyle name="Vírgula 6 2 2 2 5" xfId="3429" xr:uid="{00000000-0005-0000-0000-000048160000}"/>
    <cellStyle name="Vírgula 6 2 2 3" xfId="896" xr:uid="{00000000-0005-0000-0000-000049160000}"/>
    <cellStyle name="Vírgula 6 2 2 3 2" xfId="1663" xr:uid="{00000000-0005-0000-0000-00004A160000}"/>
    <cellStyle name="Vírgula 6 2 2 3 2 2" xfId="2904" xr:uid="{00000000-0005-0000-0000-00004B160000}"/>
    <cellStyle name="Vírgula 6 2 2 3 2 2 2" xfId="5600" xr:uid="{00000000-0005-0000-0000-00004C160000}"/>
    <cellStyle name="Vírgula 6 2 2 3 2 3" xfId="4359" xr:uid="{00000000-0005-0000-0000-00004D160000}"/>
    <cellStyle name="Vírgula 6 2 2 3 3" xfId="2404" xr:uid="{00000000-0005-0000-0000-00004E160000}"/>
    <cellStyle name="Vírgula 6 2 2 3 3 2" xfId="5100" xr:uid="{00000000-0005-0000-0000-00004F160000}"/>
    <cellStyle name="Vírgula 6 2 2 3 4" xfId="3593" xr:uid="{00000000-0005-0000-0000-000050160000}"/>
    <cellStyle name="Vírgula 6 2 2 4" xfId="1326" xr:uid="{00000000-0005-0000-0000-000051160000}"/>
    <cellStyle name="Vírgula 6 2 2 4 2" xfId="2654" xr:uid="{00000000-0005-0000-0000-000052160000}"/>
    <cellStyle name="Vírgula 6 2 2 4 2 2" xfId="5350" xr:uid="{00000000-0005-0000-0000-000053160000}"/>
    <cellStyle name="Vírgula 6 2 2 4 3" xfId="4022" xr:uid="{00000000-0005-0000-0000-000054160000}"/>
    <cellStyle name="Vírgula 6 2 2 5" xfId="2154" xr:uid="{00000000-0005-0000-0000-000055160000}"/>
    <cellStyle name="Vírgula 6 2 2 5 2" xfId="4850" xr:uid="{00000000-0005-0000-0000-000056160000}"/>
    <cellStyle name="Vírgula 6 2 2 6" xfId="3256" xr:uid="{00000000-0005-0000-0000-000057160000}"/>
    <cellStyle name="Vírgula 6 2 3" xfId="669" xr:uid="{00000000-0005-0000-0000-000058160000}"/>
    <cellStyle name="Vírgula 6 2 3 2" xfId="1006" xr:uid="{00000000-0005-0000-0000-000059160000}"/>
    <cellStyle name="Vírgula 6 2 3 2 2" xfId="1773" xr:uid="{00000000-0005-0000-0000-00005A160000}"/>
    <cellStyle name="Vírgula 6 2 3 2 2 2" xfId="2967" xr:uid="{00000000-0005-0000-0000-00005B160000}"/>
    <cellStyle name="Vírgula 6 2 3 2 2 2 2" xfId="5663" xr:uid="{00000000-0005-0000-0000-00005C160000}"/>
    <cellStyle name="Vírgula 6 2 3 2 2 3" xfId="4469" xr:uid="{00000000-0005-0000-0000-00005D160000}"/>
    <cellStyle name="Vírgula 6 2 3 2 3" xfId="2467" xr:uid="{00000000-0005-0000-0000-00005E160000}"/>
    <cellStyle name="Vírgula 6 2 3 2 3 2" xfId="5163" xr:uid="{00000000-0005-0000-0000-00005F160000}"/>
    <cellStyle name="Vírgula 6 2 3 2 4" xfId="3703" xr:uid="{00000000-0005-0000-0000-000060160000}"/>
    <cellStyle name="Vírgula 6 2 3 3" xfId="1436" xr:uid="{00000000-0005-0000-0000-000061160000}"/>
    <cellStyle name="Vírgula 6 2 3 3 2" xfId="2717" xr:uid="{00000000-0005-0000-0000-000062160000}"/>
    <cellStyle name="Vírgula 6 2 3 3 2 2" xfId="5413" xr:uid="{00000000-0005-0000-0000-000063160000}"/>
    <cellStyle name="Vírgula 6 2 3 3 3" xfId="4132" xr:uid="{00000000-0005-0000-0000-000064160000}"/>
    <cellStyle name="Vírgula 6 2 3 4" xfId="2217" xr:uid="{00000000-0005-0000-0000-000065160000}"/>
    <cellStyle name="Vírgula 6 2 3 4 2" xfId="4913" xr:uid="{00000000-0005-0000-0000-000066160000}"/>
    <cellStyle name="Vírgula 6 2 3 5" xfId="3366" xr:uid="{00000000-0005-0000-0000-000067160000}"/>
    <cellStyle name="Vírgula 6 2 4" xfId="832" xr:uid="{00000000-0005-0000-0000-000068160000}"/>
    <cellStyle name="Vírgula 6 2 4 2" xfId="1599" xr:uid="{00000000-0005-0000-0000-000069160000}"/>
    <cellStyle name="Vírgula 6 2 4 2 2" xfId="2842" xr:uid="{00000000-0005-0000-0000-00006A160000}"/>
    <cellStyle name="Vírgula 6 2 4 2 2 2" xfId="5538" xr:uid="{00000000-0005-0000-0000-00006B160000}"/>
    <cellStyle name="Vírgula 6 2 4 2 3" xfId="4295" xr:uid="{00000000-0005-0000-0000-00006C160000}"/>
    <cellStyle name="Vírgula 6 2 4 3" xfId="2342" xr:uid="{00000000-0005-0000-0000-00006D160000}"/>
    <cellStyle name="Vírgula 6 2 4 3 2" xfId="5038" xr:uid="{00000000-0005-0000-0000-00006E160000}"/>
    <cellStyle name="Vírgula 6 2 4 4" xfId="3529" xr:uid="{00000000-0005-0000-0000-00006F160000}"/>
    <cellStyle name="Vírgula 6 2 5" xfId="1263" xr:uid="{00000000-0005-0000-0000-000070160000}"/>
    <cellStyle name="Vírgula 6 2 5 2" xfId="2592" xr:uid="{00000000-0005-0000-0000-000071160000}"/>
    <cellStyle name="Vírgula 6 2 5 2 2" xfId="5288" xr:uid="{00000000-0005-0000-0000-000072160000}"/>
    <cellStyle name="Vírgula 6 2 5 3" xfId="3959" xr:uid="{00000000-0005-0000-0000-000073160000}"/>
    <cellStyle name="Vírgula 6 2 6" xfId="2092" xr:uid="{00000000-0005-0000-0000-000074160000}"/>
    <cellStyle name="Vírgula 6 2 6 2" xfId="4788" xr:uid="{00000000-0005-0000-0000-000075160000}"/>
    <cellStyle name="Vírgula 6 2 7" xfId="3192" xr:uid="{00000000-0005-0000-0000-000076160000}"/>
    <cellStyle name="Vírgula 6 3" xfId="429" xr:uid="{00000000-0005-0000-0000-000077160000}"/>
    <cellStyle name="Vírgula 6 3 2" xfId="2038" xr:uid="{00000000-0005-0000-0000-000078160000}"/>
    <cellStyle name="Vírgula 6 3 2 2" xfId="4734" xr:uid="{00000000-0005-0000-0000-000079160000}"/>
    <cellStyle name="Vírgula 6 3 3" xfId="3137" xr:uid="{00000000-0005-0000-0000-00007A160000}"/>
    <cellStyle name="Vírgula 6 4" xfId="1985" xr:uid="{00000000-0005-0000-0000-00007B160000}"/>
    <cellStyle name="Vírgula 6 4 2" xfId="4681" xr:uid="{00000000-0005-0000-0000-00007C160000}"/>
    <cellStyle name="Vírgula 6 5" xfId="3077" xr:uid="{00000000-0005-0000-0000-00007D160000}"/>
    <cellStyle name="Vírgula 7" xfId="106" xr:uid="{00000000-0005-0000-0000-00007E160000}"/>
    <cellStyle name="Vírgula 7 2" xfId="559" xr:uid="{00000000-0005-0000-0000-00007F160000}"/>
    <cellStyle name="Vírgula 7 2 2" xfId="733" xr:uid="{00000000-0005-0000-0000-000080160000}"/>
    <cellStyle name="Vírgula 7 2 2 2" xfId="1070" xr:uid="{00000000-0005-0000-0000-000081160000}"/>
    <cellStyle name="Vírgula 7 2 2 2 2" xfId="1837" xr:uid="{00000000-0005-0000-0000-000082160000}"/>
    <cellStyle name="Vírgula 7 2 2 2 2 2" xfId="3030" xr:uid="{00000000-0005-0000-0000-000083160000}"/>
    <cellStyle name="Vírgula 7 2 2 2 2 2 2" xfId="5726" xr:uid="{00000000-0005-0000-0000-000084160000}"/>
    <cellStyle name="Vírgula 7 2 2 2 2 3" xfId="4533" xr:uid="{00000000-0005-0000-0000-000085160000}"/>
    <cellStyle name="Vírgula 7 2 2 2 3" xfId="2530" xr:uid="{00000000-0005-0000-0000-000086160000}"/>
    <cellStyle name="Vírgula 7 2 2 2 3 2" xfId="5226" xr:uid="{00000000-0005-0000-0000-000087160000}"/>
    <cellStyle name="Vírgula 7 2 2 2 4" xfId="3767" xr:uid="{00000000-0005-0000-0000-000088160000}"/>
    <cellStyle name="Vírgula 7 2 2 3" xfId="1500" xr:uid="{00000000-0005-0000-0000-000089160000}"/>
    <cellStyle name="Vírgula 7 2 2 3 2" xfId="2780" xr:uid="{00000000-0005-0000-0000-00008A160000}"/>
    <cellStyle name="Vírgula 7 2 2 3 2 2" xfId="5476" xr:uid="{00000000-0005-0000-0000-00008B160000}"/>
    <cellStyle name="Vírgula 7 2 2 3 3" xfId="4196" xr:uid="{00000000-0005-0000-0000-00008C160000}"/>
    <cellStyle name="Vírgula 7 2 2 4" xfId="2280" xr:uid="{00000000-0005-0000-0000-00008D160000}"/>
    <cellStyle name="Vírgula 7 2 2 4 2" xfId="4976" xr:uid="{00000000-0005-0000-0000-00008E160000}"/>
    <cellStyle name="Vírgula 7 2 2 5" xfId="3430" xr:uid="{00000000-0005-0000-0000-00008F160000}"/>
    <cellStyle name="Vírgula 7 2 3" xfId="897" xr:uid="{00000000-0005-0000-0000-000090160000}"/>
    <cellStyle name="Vírgula 7 2 3 2" xfId="1664" xr:uid="{00000000-0005-0000-0000-000091160000}"/>
    <cellStyle name="Vírgula 7 2 3 2 2" xfId="2905" xr:uid="{00000000-0005-0000-0000-000092160000}"/>
    <cellStyle name="Vírgula 7 2 3 2 2 2" xfId="5601" xr:uid="{00000000-0005-0000-0000-000093160000}"/>
    <cellStyle name="Vírgula 7 2 3 2 3" xfId="4360" xr:uid="{00000000-0005-0000-0000-000094160000}"/>
    <cellStyle name="Vírgula 7 2 3 3" xfId="2405" xr:uid="{00000000-0005-0000-0000-000095160000}"/>
    <cellStyle name="Vírgula 7 2 3 3 2" xfId="5101" xr:uid="{00000000-0005-0000-0000-000096160000}"/>
    <cellStyle name="Vírgula 7 2 3 4" xfId="3594" xr:uid="{00000000-0005-0000-0000-000097160000}"/>
    <cellStyle name="Vírgula 7 2 4" xfId="1327" xr:uid="{00000000-0005-0000-0000-000098160000}"/>
    <cellStyle name="Vírgula 7 2 4 2" xfId="2655" xr:uid="{00000000-0005-0000-0000-000099160000}"/>
    <cellStyle name="Vírgula 7 2 4 2 2" xfId="5351" xr:uid="{00000000-0005-0000-0000-00009A160000}"/>
    <cellStyle name="Vírgula 7 2 4 3" xfId="4023" xr:uid="{00000000-0005-0000-0000-00009B160000}"/>
    <cellStyle name="Vírgula 7 2 5" xfId="2155" xr:uid="{00000000-0005-0000-0000-00009C160000}"/>
    <cellStyle name="Vírgula 7 2 5 2" xfId="4851" xr:uid="{00000000-0005-0000-0000-00009D160000}"/>
    <cellStyle name="Vírgula 7 2 6" xfId="3257" xr:uid="{00000000-0005-0000-0000-00009E160000}"/>
    <cellStyle name="Vírgula 7 3" xfId="670" xr:uid="{00000000-0005-0000-0000-00009F160000}"/>
    <cellStyle name="Vírgula 7 3 2" xfId="1007" xr:uid="{00000000-0005-0000-0000-0000A0160000}"/>
    <cellStyle name="Vírgula 7 3 2 2" xfId="1774" xr:uid="{00000000-0005-0000-0000-0000A1160000}"/>
    <cellStyle name="Vírgula 7 3 2 2 2" xfId="2968" xr:uid="{00000000-0005-0000-0000-0000A2160000}"/>
    <cellStyle name="Vírgula 7 3 2 2 2 2" xfId="5664" xr:uid="{00000000-0005-0000-0000-0000A3160000}"/>
    <cellStyle name="Vírgula 7 3 2 2 3" xfId="4470" xr:uid="{00000000-0005-0000-0000-0000A4160000}"/>
    <cellStyle name="Vírgula 7 3 2 3" xfId="2468" xr:uid="{00000000-0005-0000-0000-0000A5160000}"/>
    <cellStyle name="Vírgula 7 3 2 3 2" xfId="5164" xr:uid="{00000000-0005-0000-0000-0000A6160000}"/>
    <cellStyle name="Vírgula 7 3 2 4" xfId="3704" xr:uid="{00000000-0005-0000-0000-0000A7160000}"/>
    <cellStyle name="Vírgula 7 3 3" xfId="1437" xr:uid="{00000000-0005-0000-0000-0000A8160000}"/>
    <cellStyle name="Vírgula 7 3 3 2" xfId="2718" xr:uid="{00000000-0005-0000-0000-0000A9160000}"/>
    <cellStyle name="Vírgula 7 3 3 2 2" xfId="5414" xr:uid="{00000000-0005-0000-0000-0000AA160000}"/>
    <cellStyle name="Vírgula 7 3 3 3" xfId="4133" xr:uid="{00000000-0005-0000-0000-0000AB160000}"/>
    <cellStyle name="Vírgula 7 3 4" xfId="2218" xr:uid="{00000000-0005-0000-0000-0000AC160000}"/>
    <cellStyle name="Vírgula 7 3 4 2" xfId="4914" xr:uid="{00000000-0005-0000-0000-0000AD160000}"/>
    <cellStyle name="Vírgula 7 3 5" xfId="3367" xr:uid="{00000000-0005-0000-0000-0000AE160000}"/>
    <cellStyle name="Vírgula 7 4" xfId="833" xr:uid="{00000000-0005-0000-0000-0000AF160000}"/>
    <cellStyle name="Vírgula 7 4 2" xfId="1600" xr:uid="{00000000-0005-0000-0000-0000B0160000}"/>
    <cellStyle name="Vírgula 7 4 2 2" xfId="2843" xr:uid="{00000000-0005-0000-0000-0000B1160000}"/>
    <cellStyle name="Vírgula 7 4 2 2 2" xfId="5539" xr:uid="{00000000-0005-0000-0000-0000B2160000}"/>
    <cellStyle name="Vírgula 7 4 2 3" xfId="4296" xr:uid="{00000000-0005-0000-0000-0000B3160000}"/>
    <cellStyle name="Vírgula 7 4 3" xfId="2343" xr:uid="{00000000-0005-0000-0000-0000B4160000}"/>
    <cellStyle name="Vírgula 7 4 3 2" xfId="5039" xr:uid="{00000000-0005-0000-0000-0000B5160000}"/>
    <cellStyle name="Vírgula 7 4 4" xfId="3530" xr:uid="{00000000-0005-0000-0000-0000B6160000}"/>
    <cellStyle name="Vírgula 7 5" xfId="1264" xr:uid="{00000000-0005-0000-0000-0000B7160000}"/>
    <cellStyle name="Vírgula 7 5 2" xfId="2593" xr:uid="{00000000-0005-0000-0000-0000B8160000}"/>
    <cellStyle name="Vírgula 7 5 2 2" xfId="5289" xr:uid="{00000000-0005-0000-0000-0000B9160000}"/>
    <cellStyle name="Vírgula 7 5 3" xfId="3960" xr:uid="{00000000-0005-0000-0000-0000BA160000}"/>
    <cellStyle name="Vírgula 7 6" xfId="494" xr:uid="{00000000-0005-0000-0000-0000BB160000}"/>
    <cellStyle name="Vírgula 7 6 2" xfId="2093" xr:uid="{00000000-0005-0000-0000-0000BC160000}"/>
    <cellStyle name="Vírgula 7 6 2 2" xfId="4789" xr:uid="{00000000-0005-0000-0000-0000BD160000}"/>
    <cellStyle name="Vírgula 7 6 3" xfId="3193" xr:uid="{00000000-0005-0000-0000-0000BE160000}"/>
    <cellStyle name="Vírgula 7 7" xfId="1986" xr:uid="{00000000-0005-0000-0000-0000BF160000}"/>
    <cellStyle name="Vírgula 7 7 2" xfId="4682" xr:uid="{00000000-0005-0000-0000-0000C0160000}"/>
    <cellStyle name="Vírgula 7 8" xfId="3078" xr:uid="{00000000-0005-0000-0000-0000C1160000}"/>
    <cellStyle name="Vírgula 8" xfId="115" xr:uid="{00000000-0005-0000-0000-0000C2160000}"/>
    <cellStyle name="Vírgula 8 2" xfId="678" xr:uid="{00000000-0005-0000-0000-0000C3160000}"/>
    <cellStyle name="Vírgula 8 2 2" xfId="1015" xr:uid="{00000000-0005-0000-0000-0000C4160000}"/>
    <cellStyle name="Vírgula 8 2 2 2" xfId="1782" xr:uid="{00000000-0005-0000-0000-0000C5160000}"/>
    <cellStyle name="Vírgula 8 2 2 2 2" xfId="2975" xr:uid="{00000000-0005-0000-0000-0000C6160000}"/>
    <cellStyle name="Vírgula 8 2 2 2 2 2" xfId="5671" xr:uid="{00000000-0005-0000-0000-0000C7160000}"/>
    <cellStyle name="Vírgula 8 2 2 2 3" xfId="4478" xr:uid="{00000000-0005-0000-0000-0000C8160000}"/>
    <cellStyle name="Vírgula 8 2 2 3" xfId="2475" xr:uid="{00000000-0005-0000-0000-0000C9160000}"/>
    <cellStyle name="Vírgula 8 2 2 3 2" xfId="5171" xr:uid="{00000000-0005-0000-0000-0000CA160000}"/>
    <cellStyle name="Vírgula 8 2 2 4" xfId="3712" xr:uid="{00000000-0005-0000-0000-0000CB160000}"/>
    <cellStyle name="Vírgula 8 2 3" xfId="1445" xr:uid="{00000000-0005-0000-0000-0000CC160000}"/>
    <cellStyle name="Vírgula 8 2 3 2" xfId="2725" xr:uid="{00000000-0005-0000-0000-0000CD160000}"/>
    <cellStyle name="Vírgula 8 2 3 2 2" xfId="5421" xr:uid="{00000000-0005-0000-0000-0000CE160000}"/>
    <cellStyle name="Vírgula 8 2 3 3" xfId="4141" xr:uid="{00000000-0005-0000-0000-0000CF160000}"/>
    <cellStyle name="Vírgula 8 2 4" xfId="2225" xr:uid="{00000000-0005-0000-0000-0000D0160000}"/>
    <cellStyle name="Vírgula 8 2 4 2" xfId="4921" xr:uid="{00000000-0005-0000-0000-0000D1160000}"/>
    <cellStyle name="Vírgula 8 2 5" xfId="3375" xr:uid="{00000000-0005-0000-0000-0000D2160000}"/>
    <cellStyle name="Vírgula 8 3" xfId="841" xr:uid="{00000000-0005-0000-0000-0000D3160000}"/>
    <cellStyle name="Vírgula 8 3 2" xfId="1608" xr:uid="{00000000-0005-0000-0000-0000D4160000}"/>
    <cellStyle name="Vírgula 8 3 2 2" xfId="2850" xr:uid="{00000000-0005-0000-0000-0000D5160000}"/>
    <cellStyle name="Vírgula 8 3 2 2 2" xfId="5546" xr:uid="{00000000-0005-0000-0000-0000D6160000}"/>
    <cellStyle name="Vírgula 8 3 2 3" xfId="4304" xr:uid="{00000000-0005-0000-0000-0000D7160000}"/>
    <cellStyle name="Vírgula 8 3 3" xfId="2350" xr:uid="{00000000-0005-0000-0000-0000D8160000}"/>
    <cellStyle name="Vírgula 8 3 3 2" xfId="5046" xr:uid="{00000000-0005-0000-0000-0000D9160000}"/>
    <cellStyle name="Vírgula 8 3 4" xfId="3538" xr:uid="{00000000-0005-0000-0000-0000DA160000}"/>
    <cellStyle name="Vírgula 8 4" xfId="1271" xr:uid="{00000000-0005-0000-0000-0000DB160000}"/>
    <cellStyle name="Vírgula 8 4 2" xfId="2600" xr:uid="{00000000-0005-0000-0000-0000DC160000}"/>
    <cellStyle name="Vírgula 8 4 2 2" xfId="5296" xr:uid="{00000000-0005-0000-0000-0000DD160000}"/>
    <cellStyle name="Vírgula 8 4 3" xfId="3967" xr:uid="{00000000-0005-0000-0000-0000DE160000}"/>
    <cellStyle name="Vírgula 8 5" xfId="503" xr:uid="{00000000-0005-0000-0000-0000DF160000}"/>
    <cellStyle name="Vírgula 8 5 2" xfId="2100" xr:uid="{00000000-0005-0000-0000-0000E0160000}"/>
    <cellStyle name="Vírgula 8 5 2 2" xfId="4796" xr:uid="{00000000-0005-0000-0000-0000E1160000}"/>
    <cellStyle name="Vírgula 8 5 3" xfId="3201" xr:uid="{00000000-0005-0000-0000-0000E2160000}"/>
    <cellStyle name="Vírgula 9" xfId="3" xr:uid="{00000000-0005-0000-0000-0000E3160000}"/>
    <cellStyle name="Vírgula 9 2" xfId="952" xr:uid="{00000000-0005-0000-0000-0000E4160000}"/>
    <cellStyle name="Vírgula 9 2 2" xfId="1719" xr:uid="{00000000-0005-0000-0000-0000E5160000}"/>
    <cellStyle name="Vírgula 9 2 2 2" xfId="2913" xr:uid="{00000000-0005-0000-0000-0000E6160000}"/>
    <cellStyle name="Vírgula 9 2 2 2 2" xfId="5609" xr:uid="{00000000-0005-0000-0000-0000E7160000}"/>
    <cellStyle name="Vírgula 9 2 2 3" xfId="4415" xr:uid="{00000000-0005-0000-0000-0000E8160000}"/>
    <cellStyle name="Vírgula 9 2 3" xfId="2413" xr:uid="{00000000-0005-0000-0000-0000E9160000}"/>
    <cellStyle name="Vírgula 9 2 3 2" xfId="5109" xr:uid="{00000000-0005-0000-0000-0000EA160000}"/>
    <cellStyle name="Vírgula 9 2 4" xfId="3649" xr:uid="{00000000-0005-0000-0000-0000EB160000}"/>
    <cellStyle name="Vírgula 9 3" xfId="1382" xr:uid="{00000000-0005-0000-0000-0000EC160000}"/>
    <cellStyle name="Vírgula 9 3 2" xfId="2663" xr:uid="{00000000-0005-0000-0000-0000ED160000}"/>
    <cellStyle name="Vírgula 9 3 2 2" xfId="5359" xr:uid="{00000000-0005-0000-0000-0000EE160000}"/>
    <cellStyle name="Vírgula 9 3 3" xfId="4078" xr:uid="{00000000-0005-0000-0000-0000EF160000}"/>
    <cellStyle name="Vírgula 9 4" xfId="615" xr:uid="{00000000-0005-0000-0000-0000F0160000}"/>
    <cellStyle name="Vírgula 9 4 2" xfId="2163" xr:uid="{00000000-0005-0000-0000-0000F1160000}"/>
    <cellStyle name="Vírgula 9 4 2 2" xfId="4859" xr:uid="{00000000-0005-0000-0000-0000F2160000}"/>
    <cellStyle name="Vírgula 9 4 3" xfId="3312" xr:uid="{00000000-0005-0000-0000-0000F3160000}"/>
    <cellStyle name="Vírgula 9 5" xfId="1968" xr:uid="{00000000-0005-0000-0000-0000F4160000}"/>
    <cellStyle name="Vírgula 9 5 2" xfId="4664" xr:uid="{00000000-0005-0000-0000-0000F5160000}"/>
    <cellStyle name="Vírgula 9 6" xfId="3054" xr:uid="{00000000-0005-0000-0000-0000F6160000}"/>
    <cellStyle name="Vírgula0" xfId="261" xr:uid="{00000000-0005-0000-0000-0000F7160000}"/>
    <cellStyle name="Währung" xfId="262" xr:uid="{00000000-0005-0000-0000-0000F8160000}"/>
    <cellStyle name="Warning 20" xfId="5854" xr:uid="{00000000-0005-0000-0000-0000F9160000}"/>
    <cellStyle name="Warning 22" xfId="5855" xr:uid="{00000000-0005-0000-0000-0000FA160000}"/>
    <cellStyle name="Warning Text" xfId="56" xr:uid="{00000000-0005-0000-0000-0000FB160000}"/>
  </cellStyles>
  <dxfs count="211">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b/>
        <i val="0"/>
        <strike val="0"/>
        <color rgb="FFFF0000"/>
      </font>
    </dxf>
    <dxf>
      <font>
        <b/>
        <i val="0"/>
        <color rgb="FFFF0000"/>
      </font>
      <fill>
        <patternFill>
          <bgColor rgb="FFFFFF00"/>
        </patternFill>
      </fill>
    </dxf>
    <dxf>
      <font>
        <b/>
        <i val="0"/>
        <color rgb="FFFF0000"/>
      </font>
      <fill>
        <patternFill>
          <bgColor rgb="FFFFFF00"/>
        </patternFill>
      </fill>
    </dxf>
    <dxf>
      <font>
        <b/>
        <i val="0"/>
        <strike val="0"/>
        <color rgb="FFFF0000"/>
      </font>
    </dxf>
    <dxf>
      <font>
        <color rgb="FFFCD5B4"/>
      </font>
      <fill>
        <patternFill>
          <bgColor rgb="FFFCD5B4"/>
        </patternFill>
      </fill>
    </dxf>
    <dxf>
      <font>
        <color rgb="FF808080"/>
      </font>
      <fill>
        <patternFill>
          <bgColor rgb="FF808080"/>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FCD5B4"/>
      </font>
      <fill>
        <patternFill>
          <bgColor rgb="FFFCD5B4"/>
        </patternFill>
      </fill>
    </dxf>
    <dxf>
      <font>
        <color rgb="FFFCD5B4"/>
      </font>
      <fill>
        <patternFill>
          <bgColor rgb="FFFCD5B4"/>
        </patternFill>
      </fill>
    </dxf>
    <dxf>
      <font>
        <color rgb="FF808080"/>
      </font>
      <fill>
        <patternFill>
          <bgColor rgb="FF808080"/>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808080"/>
      </font>
      <fill>
        <patternFill>
          <bgColor rgb="FF808080"/>
        </patternFill>
      </fill>
    </dxf>
    <dxf>
      <font>
        <color rgb="FFFCD5B4"/>
      </font>
      <fill>
        <patternFill>
          <bgColor rgb="FFFCD5B4"/>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
      <font>
        <color rgb="FFFCD5B4"/>
      </font>
      <fill>
        <patternFill>
          <bgColor rgb="FFFCD5B4"/>
        </patternFill>
      </fill>
    </dxf>
    <dxf>
      <font>
        <color rgb="FF808080"/>
      </font>
      <fill>
        <patternFill>
          <bgColor rgb="FF808080"/>
        </patternFill>
      </fill>
    </dxf>
  </dxfs>
  <tableStyles count="0" defaultTableStyle="TableStyleMedium2" defaultPivotStyle="PivotStyleLight16"/>
  <colors>
    <mruColors>
      <color rgb="FF0000FF"/>
      <color rgb="FF446A2C"/>
      <color rgb="FF334F21"/>
      <color rgb="FF365F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63" Type="http://schemas.openxmlformats.org/officeDocument/2006/relationships/externalLink" Target="externalLinks/externalLink22.xml"/><Relationship Id="rId68" Type="http://schemas.openxmlformats.org/officeDocument/2006/relationships/externalLink" Target="externalLinks/externalLink27.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66" Type="http://schemas.openxmlformats.org/officeDocument/2006/relationships/externalLink" Target="externalLinks/externalLink2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externalLink" Target="externalLinks/externalLink16.xml"/><Relationship Id="rId61" Type="http://schemas.openxmlformats.org/officeDocument/2006/relationships/externalLink" Target="externalLinks/externalLink2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externalLink" Target="externalLinks/externalLink19.xml"/><Relationship Id="rId65" Type="http://schemas.openxmlformats.org/officeDocument/2006/relationships/externalLink" Target="externalLinks/externalLink24.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externalLink" Target="externalLinks/externalLink15.xml"/><Relationship Id="rId64" Type="http://schemas.openxmlformats.org/officeDocument/2006/relationships/externalLink" Target="externalLinks/externalLink23.xml"/><Relationship Id="rId69" Type="http://schemas.openxmlformats.org/officeDocument/2006/relationships/externalLink" Target="externalLinks/externalLink28.xml"/><Relationship Id="rId8" Type="http://schemas.openxmlformats.org/officeDocument/2006/relationships/worksheet" Target="worksheets/sheet8.xml"/><Relationship Id="rId51" Type="http://schemas.openxmlformats.org/officeDocument/2006/relationships/externalLink" Target="externalLinks/externalLink10.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externalLink" Target="externalLinks/externalLink18.xml"/><Relationship Id="rId67" Type="http://schemas.openxmlformats.org/officeDocument/2006/relationships/externalLink" Target="externalLinks/externalLink2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3.xml"/><Relationship Id="rId62" Type="http://schemas.openxmlformats.org/officeDocument/2006/relationships/externalLink" Target="externalLinks/externalLink21.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pt-BR" sz="1200" b="0" i="0" u="none" strike="noStrike" baseline="0">
                <a:solidFill>
                  <a:srgbClr val="000000"/>
                </a:solidFill>
                <a:latin typeface="Arial"/>
                <a:ea typeface="Arial"/>
                <a:cs typeface="Arial"/>
              </a:defRPr>
            </a:pPr>
            <a:r>
              <a:rPr lang="pt-BR"/>
              <a:t>AVANÇO FINANCEIRO</a:t>
            </a:r>
          </a:p>
        </c:rich>
      </c:tx>
      <c:layout>
        <c:manualLayout>
          <c:xMode val="edge"/>
          <c:yMode val="edge"/>
          <c:x val="0.46126909792792919"/>
          <c:y val="1.0740831028530674E-2"/>
        </c:manualLayout>
      </c:layout>
      <c:overlay val="0"/>
      <c:spPr>
        <a:noFill/>
        <a:ln w="25400">
          <a:noFill/>
        </a:ln>
      </c:spPr>
    </c:title>
    <c:autoTitleDeleted val="0"/>
    <c:plotArea>
      <c:layout>
        <c:manualLayout>
          <c:layoutTarget val="inner"/>
          <c:xMode val="edge"/>
          <c:yMode val="edge"/>
          <c:x val="7.9424327708640913E-2"/>
          <c:y val="3.7693315667959221E-2"/>
          <c:w val="0.87260150643654766"/>
          <c:h val="0.69131019841911501"/>
        </c:manualLayout>
      </c:layout>
      <c:barChart>
        <c:barDir val="col"/>
        <c:grouping val="clustered"/>
        <c:varyColors val="0"/>
        <c:ser>
          <c:idx val="0"/>
          <c:order val="0"/>
          <c:tx>
            <c:v>Previsto</c:v>
          </c:tx>
          <c:spPr>
            <a:gradFill rotWithShape="0">
              <a:gsLst>
                <a:gs pos="0">
                  <a:srgbClr val="0000FF"/>
                </a:gs>
                <a:gs pos="50000">
                  <a:srgbClr val="0000FF">
                    <a:gamma/>
                    <a:tint val="0"/>
                    <a:invGamma/>
                  </a:srgbClr>
                </a:gs>
                <a:gs pos="100000">
                  <a:srgbClr val="0000FF"/>
                </a:gs>
              </a:gsLst>
              <a:lin ang="2700000" scaled="1"/>
            </a:gradFill>
            <a:ln w="12700">
              <a:solidFill>
                <a:srgbClr val="000000"/>
              </a:solidFill>
              <a:prstDash val="solid"/>
            </a:ln>
          </c:spPr>
          <c:invertIfNegative val="0"/>
          <c:cat>
            <c:numRef>
              <c:extLst>
                <c:ext xmlns:c15="http://schemas.microsoft.com/office/drawing/2012/chart" uri="{02D57815-91ED-43cb-92C2-25804820EDAC}">
                  <c15:fullRef>
                    <c15:sqref>'9.2 - CURVA'!$D$127:$Q$127</c15:sqref>
                  </c15:fullRef>
                </c:ext>
              </c:extLst>
              <c:f>'9.2 - CURVA'!$D$127:$M$127</c:f>
              <c:numCache>
                <c:formatCode>[$-416]mmm\-yy;@</c:formatCode>
                <c:ptCount val="10"/>
                <c:pt idx="0">
                  <c:v>44805</c:v>
                </c:pt>
                <c:pt idx="1">
                  <c:v>44836</c:v>
                </c:pt>
                <c:pt idx="2">
                  <c:v>44867</c:v>
                </c:pt>
                <c:pt idx="3">
                  <c:v>44898</c:v>
                </c:pt>
                <c:pt idx="4">
                  <c:v>44929</c:v>
                </c:pt>
                <c:pt idx="5">
                  <c:v>44960</c:v>
                </c:pt>
                <c:pt idx="6">
                  <c:v>44991</c:v>
                </c:pt>
                <c:pt idx="7">
                  <c:v>45022</c:v>
                </c:pt>
                <c:pt idx="8">
                  <c:v>45053</c:v>
                </c:pt>
                <c:pt idx="9">
                  <c:v>45084</c:v>
                </c:pt>
                <c:pt idx="10">
                  <c:v>45208</c:v>
                </c:pt>
              </c:numCache>
            </c:numRef>
          </c:cat>
          <c:val>
            <c:numRef>
              <c:extLst>
                <c:ext xmlns:c15="http://schemas.microsoft.com/office/drawing/2012/chart" uri="{02D57815-91ED-43cb-92C2-25804820EDAC}">
                  <c15:fullRef>
                    <c15:sqref>'9.2 - CURVA'!$D$129:$P$129</c15:sqref>
                  </c15:fullRef>
                </c:ext>
              </c:extLst>
              <c:f>'9.2 - CURVA'!$D$129:$M$129</c:f>
              <c:numCache>
                <c:formatCode>0.00%</c:formatCode>
                <c:ptCount val="10"/>
                <c:pt idx="0">
                  <c:v>1.8670335695632798E-2</c:v>
                </c:pt>
                <c:pt idx="1">
                  <c:v>2.042569370544654E-2</c:v>
                </c:pt>
                <c:pt idx="2">
                  <c:v>1.2127080092351182E-2</c:v>
                </c:pt>
                <c:pt idx="3">
                  <c:v>5.1946835217021184E-3</c:v>
                </c:pt>
                <c:pt idx="4">
                  <c:v>2.2881133024702099E-2</c:v>
                </c:pt>
                <c:pt idx="5">
                  <c:v>0.87217815762723183</c:v>
                </c:pt>
                <c:pt idx="6">
                  <c:v>1.4556874623659025E-2</c:v>
                </c:pt>
                <c:pt idx="7">
                  <c:v>1.4556874623659025E-2</c:v>
                </c:pt>
                <c:pt idx="8">
                  <c:v>1.9409167085615561E-2</c:v>
                </c:pt>
              </c:numCache>
            </c:numRef>
          </c:val>
          <c:extLst>
            <c:ext xmlns:c16="http://schemas.microsoft.com/office/drawing/2014/chart" uri="{C3380CC4-5D6E-409C-BE32-E72D297353CC}">
              <c16:uniqueId val="{00000000-30FC-49DF-BCE0-19F3A89145C1}"/>
            </c:ext>
          </c:extLst>
        </c:ser>
        <c:ser>
          <c:idx val="4"/>
          <c:order val="1"/>
          <c:tx>
            <c:v>Realizado</c:v>
          </c:tx>
          <c:spPr>
            <a:gradFill>
              <a:gsLst>
                <a:gs pos="0">
                  <a:srgbClr val="FF0000"/>
                </a:gs>
                <a:gs pos="50000">
                  <a:srgbClr val="0000FF">
                    <a:gamma/>
                    <a:tint val="0"/>
                    <a:invGamma/>
                  </a:srgbClr>
                </a:gs>
                <a:gs pos="100000">
                  <a:srgbClr val="FF0000"/>
                </a:gs>
              </a:gsLst>
              <a:lin ang="2700000" scaled="1"/>
            </a:gradFill>
            <a:ln>
              <a:solidFill>
                <a:srgbClr val="000000"/>
              </a:solidFill>
            </a:ln>
          </c:spPr>
          <c:invertIfNegative val="0"/>
          <c:dPt>
            <c:idx val="0"/>
            <c:invertIfNegative val="0"/>
            <c:bubble3D val="0"/>
            <c:spPr>
              <a:gradFill flip="none" rotWithShape="1">
                <a:gsLst>
                  <a:gs pos="0">
                    <a:srgbClr val="FF0000"/>
                  </a:gs>
                  <a:gs pos="50000">
                    <a:srgbClr val="0000FF">
                      <a:gamma/>
                      <a:tint val="0"/>
                      <a:invGamma/>
                    </a:srgbClr>
                  </a:gs>
                  <a:gs pos="100000">
                    <a:srgbClr val="FF0000"/>
                  </a:gs>
                </a:gsLst>
                <a:lin ang="2700000" scaled="1"/>
                <a:tileRect/>
              </a:gradFill>
              <a:ln>
                <a:solidFill>
                  <a:srgbClr val="000000"/>
                </a:solidFill>
              </a:ln>
            </c:spPr>
            <c:extLst>
              <c:ext xmlns:c16="http://schemas.microsoft.com/office/drawing/2014/chart" uri="{C3380CC4-5D6E-409C-BE32-E72D297353CC}">
                <c16:uniqueId val="{00000001-612D-4DC5-AD4E-DDBF59FAB5C0}"/>
              </c:ext>
            </c:extLst>
          </c:dPt>
          <c:cat>
            <c:numRef>
              <c:extLst>
                <c:ext xmlns:c15="http://schemas.microsoft.com/office/drawing/2012/chart" uri="{02D57815-91ED-43cb-92C2-25804820EDAC}">
                  <c15:fullRef>
                    <c15:sqref>'9.2 - CURVA'!$D$127:$Q$127</c15:sqref>
                  </c15:fullRef>
                </c:ext>
              </c:extLst>
              <c:f>'9.2 - CURVA'!$D$127:$M$127</c:f>
              <c:numCache>
                <c:formatCode>[$-416]mmm\-yy;@</c:formatCode>
                <c:ptCount val="10"/>
                <c:pt idx="0">
                  <c:v>44805</c:v>
                </c:pt>
                <c:pt idx="1">
                  <c:v>44836</c:v>
                </c:pt>
                <c:pt idx="2">
                  <c:v>44867</c:v>
                </c:pt>
                <c:pt idx="3">
                  <c:v>44898</c:v>
                </c:pt>
                <c:pt idx="4">
                  <c:v>44929</c:v>
                </c:pt>
                <c:pt idx="5">
                  <c:v>44960</c:v>
                </c:pt>
                <c:pt idx="6">
                  <c:v>44991</c:v>
                </c:pt>
                <c:pt idx="7">
                  <c:v>45022</c:v>
                </c:pt>
                <c:pt idx="8">
                  <c:v>45053</c:v>
                </c:pt>
                <c:pt idx="9">
                  <c:v>45084</c:v>
                </c:pt>
              </c:numCache>
            </c:numRef>
          </c:cat>
          <c:val>
            <c:numRef>
              <c:extLst>
                <c:ext xmlns:c15="http://schemas.microsoft.com/office/drawing/2012/chart" uri="{02D57815-91ED-43cb-92C2-25804820EDAC}">
                  <c15:fullRef>
                    <c15:sqref>'9.2 - CURVA'!$D$128:$Q$128</c15:sqref>
                  </c15:fullRef>
                </c:ext>
              </c:extLst>
              <c:f>'9.2 - CURVA'!$D$128:$M$128</c:f>
              <c:numCache>
                <c:formatCode>0.00%</c:formatCode>
                <c:ptCount val="10"/>
                <c:pt idx="2">
                  <c:v>0.13931342481856979</c:v>
                </c:pt>
                <c:pt idx="3">
                  <c:v>9.592965927867747E-2</c:v>
                </c:pt>
                <c:pt idx="4">
                  <c:v>0.11102898510293562</c:v>
                </c:pt>
                <c:pt idx="5">
                  <c:v>0.11975978030849627</c:v>
                </c:pt>
                <c:pt idx="6">
                  <c:v>9.888370262270163E-2</c:v>
                </c:pt>
                <c:pt idx="7">
                  <c:v>7.9910718972199118E-2</c:v>
                </c:pt>
                <c:pt idx="8">
                  <c:v>1.9518879327696578E-2</c:v>
                </c:pt>
                <c:pt idx="9">
                  <c:v>0.22270875254326064</c:v>
                </c:pt>
              </c:numCache>
            </c:numRef>
          </c:val>
          <c:extLst>
            <c:ext xmlns:c16="http://schemas.microsoft.com/office/drawing/2014/chart" uri="{C3380CC4-5D6E-409C-BE32-E72D297353CC}">
              <c16:uniqueId val="{00000001-30FC-49DF-BCE0-19F3A89145C1}"/>
            </c:ext>
          </c:extLst>
        </c:ser>
        <c:dLbls>
          <c:showLegendKey val="0"/>
          <c:showVal val="0"/>
          <c:showCatName val="0"/>
          <c:showSerName val="0"/>
          <c:showPercent val="0"/>
          <c:showBubbleSize val="0"/>
        </c:dLbls>
        <c:gapWidth val="150"/>
        <c:axId val="485216088"/>
        <c:axId val="485216480"/>
        <c:extLst/>
      </c:barChart>
      <c:lineChart>
        <c:grouping val="standard"/>
        <c:varyColors val="0"/>
        <c:ser>
          <c:idx val="2"/>
          <c:order val="2"/>
          <c:tx>
            <c:v>Acum. Previsto</c:v>
          </c:tx>
          <c:spPr>
            <a:ln w="19050">
              <a:solidFill>
                <a:srgbClr val="0000FF"/>
              </a:solidFill>
              <a:prstDash val="solid"/>
            </a:ln>
          </c:spPr>
          <c:marker>
            <c:spPr>
              <a:solidFill>
                <a:srgbClr val="0000FF"/>
              </a:solidFill>
              <a:ln w="25400">
                <a:solidFill>
                  <a:srgbClr val="0000FF"/>
                </a:solidFill>
              </a:ln>
            </c:spPr>
          </c:marker>
          <c:dLbls>
            <c:dLbl>
              <c:idx val="0"/>
              <c:layout>
                <c:manualLayout>
                  <c:x val="-3.6653602446978545E-2"/>
                  <c:y val="-2.40606460836293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78-43BD-9B37-EBC3DBA3C1C8}"/>
                </c:ext>
              </c:extLst>
            </c:dLbl>
            <c:dLbl>
              <c:idx val="1"/>
              <c:layout>
                <c:manualLayout>
                  <c:x val="-3.0586624381959481E-2"/>
                  <c:y val="-2.2340131131022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FC-49DF-BCE0-19F3A89145C1}"/>
                </c:ext>
              </c:extLst>
            </c:dLbl>
            <c:dLbl>
              <c:idx val="2"/>
              <c:layout>
                <c:manualLayout>
                  <c:x val="-3.673520214528244E-2"/>
                  <c:y val="-1.76900377568334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FC-49DF-BCE0-19F3A89145C1}"/>
                </c:ext>
              </c:extLst>
            </c:dLbl>
            <c:dLbl>
              <c:idx val="3"/>
              <c:layout>
                <c:manualLayout>
                  <c:x val="-3.611783867101831E-2"/>
                  <c:y val="-1.6453322377080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75-4D05-B52F-28F317B9945D}"/>
                </c:ext>
              </c:extLst>
            </c:dLbl>
            <c:dLbl>
              <c:idx val="4"/>
              <c:layout>
                <c:manualLayout>
                  <c:x val="-3.9332218846138849E-2"/>
                  <c:y val="-2.33665178035847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675-4D05-B52F-28F317B9945D}"/>
                </c:ext>
              </c:extLst>
            </c:dLbl>
            <c:dLbl>
              <c:idx val="5"/>
              <c:layout>
                <c:manualLayout>
                  <c:x val="-5.0261111441548365E-2"/>
                  <c:y val="1.8166978784887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675-4D05-B52F-28F317B9945D}"/>
                </c:ext>
              </c:extLst>
            </c:dLbl>
            <c:dLbl>
              <c:idx val="6"/>
              <c:layout>
                <c:manualLayout>
                  <c:x val="-2.1331544271660046E-2"/>
                  <c:y val="1.5346168591824777E-2"/>
                </c:manualLayout>
              </c:layout>
              <c:dLblPos val="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8-297C-4308-9590-3477BF82EFA0}"/>
                </c:ext>
              </c:extLst>
            </c:dLbl>
            <c:spPr>
              <a:noFill/>
              <a:ln>
                <a:noFill/>
              </a:ln>
              <a:effectLst/>
            </c:spPr>
            <c:txPr>
              <a:bodyPr wrap="square" lIns="38100" tIns="19050" rIns="38100" bIns="19050" anchor="ctr">
                <a:spAutoFit/>
              </a:bodyPr>
              <a:lstStyle/>
              <a:p>
                <a:pPr>
                  <a:defRPr>
                    <a:solidFill>
                      <a:srgbClr val="0000FF"/>
                    </a:solidFill>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'9.2 - CURVA'!$D$127:$Q$127</c15:sqref>
                  </c15:fullRef>
                </c:ext>
              </c:extLst>
              <c:f>'9.2 - CURVA'!$D$127:$M$127</c:f>
              <c:numCache>
                <c:formatCode>[$-416]mmm\-yy;@</c:formatCode>
                <c:ptCount val="10"/>
                <c:pt idx="0">
                  <c:v>44805</c:v>
                </c:pt>
                <c:pt idx="1">
                  <c:v>44836</c:v>
                </c:pt>
                <c:pt idx="2">
                  <c:v>44867</c:v>
                </c:pt>
                <c:pt idx="3">
                  <c:v>44898</c:v>
                </c:pt>
                <c:pt idx="4">
                  <c:v>44929</c:v>
                </c:pt>
                <c:pt idx="5">
                  <c:v>44960</c:v>
                </c:pt>
                <c:pt idx="6">
                  <c:v>44991</c:v>
                </c:pt>
                <c:pt idx="7">
                  <c:v>45022</c:v>
                </c:pt>
                <c:pt idx="8">
                  <c:v>45053</c:v>
                </c:pt>
                <c:pt idx="9">
                  <c:v>45084</c:v>
                </c:pt>
                <c:pt idx="10">
                  <c:v>45208</c:v>
                </c:pt>
              </c:numCache>
            </c:numRef>
          </c:cat>
          <c:val>
            <c:numRef>
              <c:extLst>
                <c:ext xmlns:c15="http://schemas.microsoft.com/office/drawing/2012/chart" uri="{02D57815-91ED-43cb-92C2-25804820EDAC}">
                  <c15:fullRef>
                    <c15:sqref>'9.2 - CURVA'!$D$131:$P$131</c15:sqref>
                  </c15:fullRef>
                </c:ext>
              </c:extLst>
              <c:f>'9.2 - CURVA'!$D$131:$M$131</c:f>
              <c:numCache>
                <c:formatCode>0.00%</c:formatCode>
                <c:ptCount val="10"/>
                <c:pt idx="0">
                  <c:v>1.8670335695632798E-2</c:v>
                </c:pt>
                <c:pt idx="1">
                  <c:v>3.9096029401079341E-2</c:v>
                </c:pt>
                <c:pt idx="2">
                  <c:v>5.1223109493430521E-2</c:v>
                </c:pt>
                <c:pt idx="3">
                  <c:v>5.6417793015132639E-2</c:v>
                </c:pt>
                <c:pt idx="4">
                  <c:v>7.9298926039834738E-2</c:v>
                </c:pt>
                <c:pt idx="5">
                  <c:v>0.95147708366706651</c:v>
                </c:pt>
                <c:pt idx="6">
                  <c:v>0.96603395829072558</c:v>
                </c:pt>
                <c:pt idx="7">
                  <c:v>0.98059083291438465</c:v>
                </c:pt>
                <c:pt idx="8">
                  <c:v>1.0000000000000002</c:v>
                </c:pt>
              </c:numCache>
            </c:numRef>
          </c:val>
          <c:smooth val="0"/>
          <c:extLst>
            <c:ext xmlns:c16="http://schemas.microsoft.com/office/drawing/2014/chart" uri="{C3380CC4-5D6E-409C-BE32-E72D297353CC}">
              <c16:uniqueId val="{0000000C-30FC-49DF-BCE0-19F3A89145C1}"/>
            </c:ext>
          </c:extLst>
        </c:ser>
        <c:ser>
          <c:idx val="3"/>
          <c:order val="3"/>
          <c:tx>
            <c:v>Acum. Realizado</c:v>
          </c:tx>
          <c:spPr>
            <a:ln>
              <a:solidFill>
                <a:srgbClr val="FF0000"/>
              </a:solidFill>
            </a:ln>
          </c:spPr>
          <c:marker>
            <c:symbol val="x"/>
            <c:size val="6"/>
            <c:spPr>
              <a:solidFill>
                <a:srgbClr val="FF0000"/>
              </a:solidFill>
              <a:ln>
                <a:solidFill>
                  <a:srgbClr val="FF0000"/>
                </a:solidFill>
              </a:ln>
            </c:spPr>
          </c:marker>
          <c:dPt>
            <c:idx val="1"/>
            <c:bubble3D val="0"/>
            <c:spPr>
              <a:ln w="22225">
                <a:solidFill>
                  <a:srgbClr val="FF0000"/>
                </a:solidFill>
              </a:ln>
            </c:spPr>
            <c:extLst>
              <c:ext xmlns:c16="http://schemas.microsoft.com/office/drawing/2014/chart" uri="{C3380CC4-5D6E-409C-BE32-E72D297353CC}">
                <c16:uniqueId val="{0000001A-30FC-49DF-BCE0-19F3A89145C1}"/>
              </c:ext>
            </c:extLst>
          </c:dPt>
          <c:dPt>
            <c:idx val="2"/>
            <c:bubble3D val="0"/>
            <c:spPr>
              <a:ln w="19050">
                <a:solidFill>
                  <a:srgbClr val="FF0000"/>
                </a:solidFill>
              </a:ln>
            </c:spPr>
            <c:extLst>
              <c:ext xmlns:c16="http://schemas.microsoft.com/office/drawing/2014/chart" uri="{C3380CC4-5D6E-409C-BE32-E72D297353CC}">
                <c16:uniqueId val="{0000001B-30FC-49DF-BCE0-19F3A89145C1}"/>
              </c:ext>
            </c:extLst>
          </c:dPt>
          <c:dPt>
            <c:idx val="3"/>
            <c:bubble3D val="0"/>
            <c:spPr>
              <a:ln w="19050">
                <a:solidFill>
                  <a:srgbClr val="FF0000"/>
                </a:solidFill>
              </a:ln>
            </c:spPr>
            <c:extLst>
              <c:ext xmlns:c16="http://schemas.microsoft.com/office/drawing/2014/chart" uri="{C3380CC4-5D6E-409C-BE32-E72D297353CC}">
                <c16:uniqueId val="{0000001C-30FC-49DF-BCE0-19F3A89145C1}"/>
              </c:ext>
            </c:extLst>
          </c:dPt>
          <c:dLbls>
            <c:dLbl>
              <c:idx val="0"/>
              <c:layout>
                <c:manualLayout>
                  <c:x val="4.160217869169665E-3"/>
                  <c:y val="-3.43716516965319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0FC-49DF-BCE0-19F3A89145C1}"/>
                </c:ext>
              </c:extLst>
            </c:dLbl>
            <c:dLbl>
              <c:idx val="1"/>
              <c:layout>
                <c:manualLayout>
                  <c:x val="7.4022872719403596E-3"/>
                  <c:y val="-4.88710508662342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0FC-49DF-BCE0-19F3A89145C1}"/>
                </c:ext>
              </c:extLst>
            </c:dLbl>
            <c:dLbl>
              <c:idx val="2"/>
              <c:layout>
                <c:manualLayout>
                  <c:x val="-3.8572562101445804E-3"/>
                  <c:y val="-3.45648884746183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0FC-49DF-BCE0-19F3A89145C1}"/>
                </c:ext>
              </c:extLst>
            </c:dLbl>
            <c:dLbl>
              <c:idx val="3"/>
              <c:layout>
                <c:manualLayout>
                  <c:x val="-2.2259101821186861E-2"/>
                  <c:y val="-2.71977227018486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0FC-49DF-BCE0-19F3A89145C1}"/>
                </c:ext>
              </c:extLst>
            </c:dLbl>
            <c:dLbl>
              <c:idx val="5"/>
              <c:layout>
                <c:manualLayout>
                  <c:x val="-1.512378527434323E-3"/>
                  <c:y val="-4.47995791684003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0D-428A-ABEC-52951FB3E401}"/>
                </c:ext>
              </c:extLst>
            </c:dLbl>
            <c:spPr>
              <a:noFill/>
              <a:ln>
                <a:noFill/>
              </a:ln>
              <a:effectLst/>
            </c:spPr>
            <c:txPr>
              <a:bodyPr wrap="square" lIns="38100" tIns="19050" rIns="38100" bIns="19050" anchor="ctr">
                <a:spAutoFit/>
              </a:bodyPr>
              <a:lstStyle/>
              <a:p>
                <a:pPr>
                  <a:defRPr>
                    <a:solidFill>
                      <a:srgbClr val="FF0000"/>
                    </a:solidFill>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'9.2 - CURVA'!$D$127:$Q$127</c15:sqref>
                  </c15:fullRef>
                </c:ext>
              </c:extLst>
              <c:f>'9.2 - CURVA'!$D$127:$M$127</c:f>
              <c:numCache>
                <c:formatCode>[$-416]mmm\-yy;@</c:formatCode>
                <c:ptCount val="10"/>
                <c:pt idx="0">
                  <c:v>44805</c:v>
                </c:pt>
                <c:pt idx="1">
                  <c:v>44836</c:v>
                </c:pt>
                <c:pt idx="2">
                  <c:v>44867</c:v>
                </c:pt>
                <c:pt idx="3">
                  <c:v>44898</c:v>
                </c:pt>
                <c:pt idx="4">
                  <c:v>44929</c:v>
                </c:pt>
                <c:pt idx="5">
                  <c:v>44960</c:v>
                </c:pt>
                <c:pt idx="6">
                  <c:v>44991</c:v>
                </c:pt>
                <c:pt idx="7">
                  <c:v>45022</c:v>
                </c:pt>
                <c:pt idx="8">
                  <c:v>45053</c:v>
                </c:pt>
                <c:pt idx="9">
                  <c:v>45084</c:v>
                </c:pt>
              </c:numCache>
            </c:numRef>
          </c:cat>
          <c:val>
            <c:numRef>
              <c:extLst>
                <c:ext xmlns:c15="http://schemas.microsoft.com/office/drawing/2012/chart" uri="{02D57815-91ED-43cb-92C2-25804820EDAC}">
                  <c15:fullRef>
                    <c15:sqref>'9.2 - CURVA'!$D$130:$Q$130</c15:sqref>
                  </c15:fullRef>
                </c:ext>
              </c:extLst>
              <c:f>'9.2 - CURVA'!$D$130:$M$130</c:f>
              <c:numCache>
                <c:formatCode>0.00%</c:formatCode>
                <c:ptCount val="10"/>
                <c:pt idx="2">
                  <c:v>0.13931342481856979</c:v>
                </c:pt>
                <c:pt idx="3">
                  <c:v>0.23524308409724726</c:v>
                </c:pt>
                <c:pt idx="4">
                  <c:v>0.34627206920018289</c:v>
                </c:pt>
                <c:pt idx="5">
                  <c:v>0.46603184950867915</c:v>
                </c:pt>
                <c:pt idx="6">
                  <c:v>0.56491555213138078</c:v>
                </c:pt>
                <c:pt idx="7">
                  <c:v>0.64482627110357993</c:v>
                </c:pt>
                <c:pt idx="8">
                  <c:v>0.66434515043127651</c:v>
                </c:pt>
                <c:pt idx="9">
                  <c:v>0.88705390297453712</c:v>
                </c:pt>
              </c:numCache>
            </c:numRef>
          </c:val>
          <c:smooth val="0"/>
          <c:extLst>
            <c:ext xmlns:c16="http://schemas.microsoft.com/office/drawing/2014/chart" uri="{C3380CC4-5D6E-409C-BE32-E72D297353CC}">
              <c16:uniqueId val="{00000026-30FC-49DF-BCE0-19F3A89145C1}"/>
            </c:ext>
          </c:extLst>
        </c:ser>
        <c:dLbls>
          <c:showLegendKey val="0"/>
          <c:showVal val="0"/>
          <c:showCatName val="0"/>
          <c:showSerName val="0"/>
          <c:showPercent val="0"/>
          <c:showBubbleSize val="0"/>
        </c:dLbls>
        <c:marker val="1"/>
        <c:smooth val="0"/>
        <c:axId val="485216088"/>
        <c:axId val="485216480"/>
        <c:extLst/>
      </c:lineChart>
      <c:catAx>
        <c:axId val="485216088"/>
        <c:scaling>
          <c:orientation val="minMax"/>
        </c:scaling>
        <c:delete val="0"/>
        <c:axPos val="b"/>
        <c:majorGridlines>
          <c:spPr>
            <a:ln w="3175">
              <a:solidFill>
                <a:srgbClr val="333399"/>
              </a:solidFill>
              <a:prstDash val="sysDash"/>
            </a:ln>
          </c:spPr>
        </c:majorGridlines>
        <c:numFmt formatCode="[$-416]mmm\-yy;@"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pt-BR"/>
          </a:p>
        </c:txPr>
        <c:crossAx val="485216480"/>
        <c:crossesAt val="0"/>
        <c:auto val="0"/>
        <c:lblAlgn val="ctr"/>
        <c:lblOffset val="100"/>
        <c:tickMarkSkip val="1"/>
        <c:noMultiLvlLbl val="0"/>
      </c:catAx>
      <c:valAx>
        <c:axId val="485216480"/>
        <c:scaling>
          <c:orientation val="minMax"/>
          <c:max val="1"/>
          <c:min val="0"/>
        </c:scaling>
        <c:delete val="0"/>
        <c:axPos val="l"/>
        <c:majorGridlines/>
        <c:title>
          <c:tx>
            <c:rich>
              <a:bodyPr/>
              <a:lstStyle/>
              <a:p>
                <a:pPr>
                  <a:defRPr lang="pt-BR" sz="1200" b="0" i="0" u="none" strike="noStrike" baseline="0">
                    <a:solidFill>
                      <a:srgbClr val="000000"/>
                    </a:solidFill>
                    <a:latin typeface="Arial"/>
                    <a:ea typeface="Arial"/>
                    <a:cs typeface="Arial"/>
                  </a:defRPr>
                </a:pPr>
                <a:r>
                  <a:rPr lang="pt-BR"/>
                  <a:t>VALORES</a:t>
                </a:r>
              </a:p>
            </c:rich>
          </c:tx>
          <c:layout>
            <c:manualLayout>
              <c:xMode val="edge"/>
              <c:yMode val="edge"/>
              <c:x val="5.3304675498239886E-3"/>
              <c:y val="0.30688453543307082"/>
            </c:manualLayout>
          </c:layout>
          <c:overlay val="0"/>
          <c:spPr>
            <a:noFill/>
            <a:ln w="25400">
              <a:noFill/>
            </a:ln>
          </c:spPr>
        </c:title>
        <c:numFmt formatCode="0.00%" sourceLinked="1"/>
        <c:majorTickMark val="out"/>
        <c:minorTickMark val="none"/>
        <c:tickLblPos val="nextTo"/>
        <c:spPr>
          <a:ln w="12700">
            <a:solidFill>
              <a:srgbClr val="333399"/>
            </a:solidFill>
            <a:prstDash val="solid"/>
          </a:ln>
        </c:spPr>
        <c:txPr>
          <a:bodyPr rot="0" vert="horz"/>
          <a:lstStyle/>
          <a:p>
            <a:pPr>
              <a:defRPr sz="1200" b="0" i="0" u="none" strike="noStrike" baseline="0">
                <a:solidFill>
                  <a:srgbClr val="000000"/>
                </a:solidFill>
                <a:latin typeface="Arial"/>
                <a:ea typeface="Arial"/>
                <a:cs typeface="Arial"/>
              </a:defRPr>
            </a:pPr>
            <a:endParaRPr lang="pt-BR"/>
          </a:p>
        </c:txPr>
        <c:crossAx val="485216088"/>
        <c:crosses val="autoZero"/>
        <c:crossBetween val="between"/>
        <c:majorUnit val="0.1"/>
        <c:minorUnit val="0.05"/>
      </c:valAx>
      <c:dTable>
        <c:showHorzBorder val="1"/>
        <c:showVertBorder val="1"/>
        <c:showOutline val="1"/>
        <c:showKeys val="1"/>
        <c:spPr>
          <a:ln w="19050"/>
        </c:spPr>
      </c:dTable>
    </c:plotArea>
    <c:plotVisOnly val="0"/>
    <c:dispBlanksAs val="gap"/>
    <c:showDLblsOverMax val="0"/>
  </c:chart>
  <c:spPr>
    <a:solidFill>
      <a:schemeClr val="accent1">
        <a:lumMod val="20000"/>
        <a:lumOff val="80000"/>
      </a:schemeClr>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pt-BR"/>
    </a:p>
  </c:txPr>
  <c:printSettings>
    <c:headerFooter alignWithMargins="0"/>
    <c:pageMargins b="0" l="0.39370078740157483" r="0.39370078740157483" t="0" header="0" footer="0"/>
    <c:pageSetup paperSize="9" orientation="landscape"/>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eg"/><Relationship Id="rId5" Type="http://schemas.openxmlformats.org/officeDocument/2006/relationships/image" Target="../media/image5.jp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6.jp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2" Type="http://schemas.openxmlformats.org/officeDocument/2006/relationships/image" Target="../media/image16.jp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8" Type="http://schemas.openxmlformats.org/officeDocument/2006/relationships/image" Target="../media/image24.jpeg"/><Relationship Id="rId3" Type="http://schemas.openxmlformats.org/officeDocument/2006/relationships/image" Target="../media/image19.jpeg"/><Relationship Id="rId7" Type="http://schemas.openxmlformats.org/officeDocument/2006/relationships/image" Target="../media/image23.jpeg"/><Relationship Id="rId2" Type="http://schemas.openxmlformats.org/officeDocument/2006/relationships/image" Target="../media/image18.jpeg"/><Relationship Id="rId1" Type="http://schemas.openxmlformats.org/officeDocument/2006/relationships/image" Target="../media/image17.jpeg"/><Relationship Id="rId6" Type="http://schemas.openxmlformats.org/officeDocument/2006/relationships/image" Target="../media/image22.jpeg"/><Relationship Id="rId5" Type="http://schemas.openxmlformats.org/officeDocument/2006/relationships/image" Target="../media/image21.jpeg"/><Relationship Id="rId4"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35</xdr:col>
      <xdr:colOff>0</xdr:colOff>
      <xdr:row>536</xdr:row>
      <xdr:rowOff>0</xdr:rowOff>
    </xdr:from>
    <xdr:to>
      <xdr:col>35</xdr:col>
      <xdr:colOff>304800</xdr:colOff>
      <xdr:row>537</xdr:row>
      <xdr:rowOff>114300</xdr:rowOff>
    </xdr:to>
    <xdr:sp macro="" textlink="">
      <xdr:nvSpPr>
        <xdr:cNvPr id="1028" name="AutoShape 4">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7162800" y="18973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35</xdr:col>
      <xdr:colOff>0</xdr:colOff>
      <xdr:row>536</xdr:row>
      <xdr:rowOff>0</xdr:rowOff>
    </xdr:from>
    <xdr:to>
      <xdr:col>35</xdr:col>
      <xdr:colOff>304800</xdr:colOff>
      <xdr:row>537</xdr:row>
      <xdr:rowOff>114300</xdr:rowOff>
    </xdr:to>
    <xdr:sp macro="" textlink="">
      <xdr:nvSpPr>
        <xdr:cNvPr id="1029" name="AutoShape 5">
          <a:extLst>
            <a:ext uri="{FF2B5EF4-FFF2-40B4-BE49-F238E27FC236}">
              <a16:creationId xmlns:a16="http://schemas.microsoft.com/office/drawing/2014/main" id="{00000000-0008-0000-0000-000005040000}"/>
            </a:ext>
          </a:extLst>
        </xdr:cNvPr>
        <xdr:cNvSpPr>
          <a:spLocks noChangeAspect="1" noChangeArrowheads="1"/>
        </xdr:cNvSpPr>
      </xdr:nvSpPr>
      <xdr:spPr bwMode="auto">
        <a:xfrm>
          <a:off x="7162800" y="19088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35</xdr:col>
      <xdr:colOff>0</xdr:colOff>
      <xdr:row>536</xdr:row>
      <xdr:rowOff>0</xdr:rowOff>
    </xdr:from>
    <xdr:ext cx="304800" cy="304800"/>
    <xdr:sp macro="" textlink="">
      <xdr:nvSpPr>
        <xdr:cNvPr id="17" name="AutoShape 4">
          <a:extLst>
            <a:ext uri="{FF2B5EF4-FFF2-40B4-BE49-F238E27FC236}">
              <a16:creationId xmlns:a16="http://schemas.microsoft.com/office/drawing/2014/main" id="{00000000-0008-0000-0000-000011000000}"/>
            </a:ext>
          </a:extLst>
        </xdr:cNvPr>
        <xdr:cNvSpPr>
          <a:spLocks noChangeAspect="1" noChangeArrowheads="1"/>
        </xdr:cNvSpPr>
      </xdr:nvSpPr>
      <xdr:spPr bwMode="auto">
        <a:xfrm>
          <a:off x="9001125" y="689490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536</xdr:row>
      <xdr:rowOff>0</xdr:rowOff>
    </xdr:from>
    <xdr:ext cx="304800" cy="304800"/>
    <xdr:sp macro="" textlink="">
      <xdr:nvSpPr>
        <xdr:cNvPr id="18" name="AutoShape 5">
          <a:extLst>
            <a:ext uri="{FF2B5EF4-FFF2-40B4-BE49-F238E27FC236}">
              <a16:creationId xmlns:a16="http://schemas.microsoft.com/office/drawing/2014/main" id="{00000000-0008-0000-0000-000012000000}"/>
            </a:ext>
          </a:extLst>
        </xdr:cNvPr>
        <xdr:cNvSpPr>
          <a:spLocks noChangeAspect="1" noChangeArrowheads="1"/>
        </xdr:cNvSpPr>
      </xdr:nvSpPr>
      <xdr:spPr bwMode="auto">
        <a:xfrm>
          <a:off x="9001125" y="700920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536</xdr:row>
      <xdr:rowOff>0</xdr:rowOff>
    </xdr:from>
    <xdr:ext cx="304800" cy="304800"/>
    <xdr:sp macro="" textlink="">
      <xdr:nvSpPr>
        <xdr:cNvPr id="30" name="AutoShape 4">
          <a:extLst>
            <a:ext uri="{FF2B5EF4-FFF2-40B4-BE49-F238E27FC236}">
              <a16:creationId xmlns:a16="http://schemas.microsoft.com/office/drawing/2014/main" id="{00000000-0008-0000-0000-00001E000000}"/>
            </a:ext>
          </a:extLst>
        </xdr:cNvPr>
        <xdr:cNvSpPr>
          <a:spLocks noChangeAspect="1" noChangeArrowheads="1"/>
        </xdr:cNvSpPr>
      </xdr:nvSpPr>
      <xdr:spPr bwMode="auto">
        <a:xfrm>
          <a:off x="9386455" y="685626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536</xdr:row>
      <xdr:rowOff>0</xdr:rowOff>
    </xdr:from>
    <xdr:ext cx="304800" cy="304800"/>
    <xdr:sp macro="" textlink="">
      <xdr:nvSpPr>
        <xdr:cNvPr id="31" name="AutoShape 5">
          <a:extLst>
            <a:ext uri="{FF2B5EF4-FFF2-40B4-BE49-F238E27FC236}">
              <a16:creationId xmlns:a16="http://schemas.microsoft.com/office/drawing/2014/main" id="{00000000-0008-0000-0000-00001F000000}"/>
            </a:ext>
          </a:extLst>
        </xdr:cNvPr>
        <xdr:cNvSpPr>
          <a:spLocks noChangeAspect="1" noChangeArrowheads="1"/>
        </xdr:cNvSpPr>
      </xdr:nvSpPr>
      <xdr:spPr bwMode="auto">
        <a:xfrm>
          <a:off x="9386455" y="697056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536</xdr:row>
      <xdr:rowOff>0</xdr:rowOff>
    </xdr:from>
    <xdr:ext cx="304800" cy="304800"/>
    <xdr:sp macro="" textlink="">
      <xdr:nvSpPr>
        <xdr:cNvPr id="39" name="AutoShape 4">
          <a:extLst>
            <a:ext uri="{FF2B5EF4-FFF2-40B4-BE49-F238E27FC236}">
              <a16:creationId xmlns:a16="http://schemas.microsoft.com/office/drawing/2014/main" id="{00000000-0008-0000-0000-000027000000}"/>
            </a:ext>
          </a:extLst>
        </xdr:cNvPr>
        <xdr:cNvSpPr>
          <a:spLocks noChangeAspect="1" noChangeArrowheads="1"/>
        </xdr:cNvSpPr>
      </xdr:nvSpPr>
      <xdr:spPr bwMode="auto">
        <a:xfrm>
          <a:off x="9566413" y="7616687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536</xdr:row>
      <xdr:rowOff>0</xdr:rowOff>
    </xdr:from>
    <xdr:ext cx="304800" cy="304800"/>
    <xdr:sp macro="" textlink="">
      <xdr:nvSpPr>
        <xdr:cNvPr id="40" name="AutoShape 5">
          <a:extLst>
            <a:ext uri="{FF2B5EF4-FFF2-40B4-BE49-F238E27FC236}">
              <a16:creationId xmlns:a16="http://schemas.microsoft.com/office/drawing/2014/main" id="{00000000-0008-0000-0000-000028000000}"/>
            </a:ext>
          </a:extLst>
        </xdr:cNvPr>
        <xdr:cNvSpPr>
          <a:spLocks noChangeAspect="1" noChangeArrowheads="1"/>
        </xdr:cNvSpPr>
      </xdr:nvSpPr>
      <xdr:spPr bwMode="auto">
        <a:xfrm>
          <a:off x="9566413" y="7616687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536</xdr:row>
      <xdr:rowOff>0</xdr:rowOff>
    </xdr:from>
    <xdr:ext cx="304800" cy="304800"/>
    <xdr:sp macro="" textlink="">
      <xdr:nvSpPr>
        <xdr:cNvPr id="41" name="AutoShape 4">
          <a:extLst>
            <a:ext uri="{FF2B5EF4-FFF2-40B4-BE49-F238E27FC236}">
              <a16:creationId xmlns:a16="http://schemas.microsoft.com/office/drawing/2014/main" id="{00000000-0008-0000-0000-000029000000}"/>
            </a:ext>
          </a:extLst>
        </xdr:cNvPr>
        <xdr:cNvSpPr>
          <a:spLocks noChangeAspect="1" noChangeArrowheads="1"/>
        </xdr:cNvSpPr>
      </xdr:nvSpPr>
      <xdr:spPr bwMode="auto">
        <a:xfrm>
          <a:off x="9566413" y="8136834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536</xdr:row>
      <xdr:rowOff>0</xdr:rowOff>
    </xdr:from>
    <xdr:ext cx="304800" cy="304800"/>
    <xdr:sp macro="" textlink="">
      <xdr:nvSpPr>
        <xdr:cNvPr id="42" name="AutoShape 5">
          <a:extLst>
            <a:ext uri="{FF2B5EF4-FFF2-40B4-BE49-F238E27FC236}">
              <a16:creationId xmlns:a16="http://schemas.microsoft.com/office/drawing/2014/main" id="{00000000-0008-0000-0000-00002A000000}"/>
            </a:ext>
          </a:extLst>
        </xdr:cNvPr>
        <xdr:cNvSpPr>
          <a:spLocks noChangeAspect="1" noChangeArrowheads="1"/>
        </xdr:cNvSpPr>
      </xdr:nvSpPr>
      <xdr:spPr bwMode="auto">
        <a:xfrm>
          <a:off x="9566413" y="8251134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536</xdr:row>
      <xdr:rowOff>0</xdr:rowOff>
    </xdr:from>
    <xdr:ext cx="304800" cy="304800"/>
    <xdr:sp macro="" textlink="">
      <xdr:nvSpPr>
        <xdr:cNvPr id="49" name="AutoShape 4">
          <a:extLst>
            <a:ext uri="{FF2B5EF4-FFF2-40B4-BE49-F238E27FC236}">
              <a16:creationId xmlns:a16="http://schemas.microsoft.com/office/drawing/2014/main" id="{00000000-0008-0000-0000-000031000000}"/>
            </a:ext>
          </a:extLst>
        </xdr:cNvPr>
        <xdr:cNvSpPr>
          <a:spLocks noChangeAspect="1" noChangeArrowheads="1"/>
        </xdr:cNvSpPr>
      </xdr:nvSpPr>
      <xdr:spPr bwMode="auto">
        <a:xfrm>
          <a:off x="9566413" y="8892208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536</xdr:row>
      <xdr:rowOff>0</xdr:rowOff>
    </xdr:from>
    <xdr:ext cx="304800" cy="304800"/>
    <xdr:sp macro="" textlink="">
      <xdr:nvSpPr>
        <xdr:cNvPr id="50" name="AutoShape 5">
          <a:extLst>
            <a:ext uri="{FF2B5EF4-FFF2-40B4-BE49-F238E27FC236}">
              <a16:creationId xmlns:a16="http://schemas.microsoft.com/office/drawing/2014/main" id="{00000000-0008-0000-0000-000032000000}"/>
            </a:ext>
          </a:extLst>
        </xdr:cNvPr>
        <xdr:cNvSpPr>
          <a:spLocks noChangeAspect="1" noChangeArrowheads="1"/>
        </xdr:cNvSpPr>
      </xdr:nvSpPr>
      <xdr:spPr bwMode="auto">
        <a:xfrm>
          <a:off x="9566413" y="8892208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540</xdr:row>
      <xdr:rowOff>0</xdr:rowOff>
    </xdr:from>
    <xdr:ext cx="304800" cy="304800"/>
    <xdr:sp macro="" textlink="">
      <xdr:nvSpPr>
        <xdr:cNvPr id="51" name="AutoShape 4">
          <a:extLst>
            <a:ext uri="{FF2B5EF4-FFF2-40B4-BE49-F238E27FC236}">
              <a16:creationId xmlns:a16="http://schemas.microsoft.com/office/drawing/2014/main" id="{00000000-0008-0000-0000-000033000000}"/>
            </a:ext>
          </a:extLst>
        </xdr:cNvPr>
        <xdr:cNvSpPr>
          <a:spLocks noChangeAspect="1" noChangeArrowheads="1"/>
        </xdr:cNvSpPr>
      </xdr:nvSpPr>
      <xdr:spPr bwMode="auto">
        <a:xfrm>
          <a:off x="9566413" y="941235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546</xdr:row>
      <xdr:rowOff>0</xdr:rowOff>
    </xdr:from>
    <xdr:ext cx="304800" cy="304800"/>
    <xdr:sp macro="" textlink="">
      <xdr:nvSpPr>
        <xdr:cNvPr id="52" name="AutoShape 5">
          <a:extLst>
            <a:ext uri="{FF2B5EF4-FFF2-40B4-BE49-F238E27FC236}">
              <a16:creationId xmlns:a16="http://schemas.microsoft.com/office/drawing/2014/main" id="{00000000-0008-0000-0000-000034000000}"/>
            </a:ext>
          </a:extLst>
        </xdr:cNvPr>
        <xdr:cNvSpPr>
          <a:spLocks noChangeAspect="1" noChangeArrowheads="1"/>
        </xdr:cNvSpPr>
      </xdr:nvSpPr>
      <xdr:spPr bwMode="auto">
        <a:xfrm>
          <a:off x="9566413" y="952665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35</xdr:col>
      <xdr:colOff>0</xdr:colOff>
      <xdr:row>536</xdr:row>
      <xdr:rowOff>0</xdr:rowOff>
    </xdr:from>
    <xdr:to>
      <xdr:col>35</xdr:col>
      <xdr:colOff>304800</xdr:colOff>
      <xdr:row>537</xdr:row>
      <xdr:rowOff>114300</xdr:rowOff>
    </xdr:to>
    <xdr:sp macro="" textlink="">
      <xdr:nvSpPr>
        <xdr:cNvPr id="6" name="AutoShape 1">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544050" y="54140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35</xdr:col>
      <xdr:colOff>0</xdr:colOff>
      <xdr:row>364</xdr:row>
      <xdr:rowOff>0</xdr:rowOff>
    </xdr:from>
    <xdr:to>
      <xdr:col>35</xdr:col>
      <xdr:colOff>304800</xdr:colOff>
      <xdr:row>364</xdr:row>
      <xdr:rowOff>186358</xdr:rowOff>
    </xdr:to>
    <xdr:sp macro="" textlink="">
      <xdr:nvSpPr>
        <xdr:cNvPr id="32" name="AutoShape 4">
          <a:extLst>
            <a:ext uri="{FF2B5EF4-FFF2-40B4-BE49-F238E27FC236}">
              <a16:creationId xmlns:a16="http://schemas.microsoft.com/office/drawing/2014/main" id="{00000000-0008-0000-0000-000020000000}"/>
            </a:ext>
          </a:extLst>
        </xdr:cNvPr>
        <xdr:cNvSpPr>
          <a:spLocks noChangeAspect="1" noChangeArrowheads="1"/>
        </xdr:cNvSpPr>
      </xdr:nvSpPr>
      <xdr:spPr bwMode="auto">
        <a:xfrm>
          <a:off x="9544050" y="6975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35</xdr:col>
      <xdr:colOff>0</xdr:colOff>
      <xdr:row>370</xdr:row>
      <xdr:rowOff>0</xdr:rowOff>
    </xdr:from>
    <xdr:to>
      <xdr:col>35</xdr:col>
      <xdr:colOff>304800</xdr:colOff>
      <xdr:row>371</xdr:row>
      <xdr:rowOff>0</xdr:rowOff>
    </xdr:to>
    <xdr:sp macro="" textlink="">
      <xdr:nvSpPr>
        <xdr:cNvPr id="37" name="AutoShape 5">
          <a:extLst>
            <a:ext uri="{FF2B5EF4-FFF2-40B4-BE49-F238E27FC236}">
              <a16:creationId xmlns:a16="http://schemas.microsoft.com/office/drawing/2014/main" id="{00000000-0008-0000-0000-000025000000}"/>
            </a:ext>
          </a:extLst>
        </xdr:cNvPr>
        <xdr:cNvSpPr>
          <a:spLocks noChangeAspect="1" noChangeArrowheads="1"/>
        </xdr:cNvSpPr>
      </xdr:nvSpPr>
      <xdr:spPr bwMode="auto">
        <a:xfrm>
          <a:off x="9544050" y="7089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35</xdr:col>
      <xdr:colOff>0</xdr:colOff>
      <xdr:row>403</xdr:row>
      <xdr:rowOff>0</xdr:rowOff>
    </xdr:from>
    <xdr:ext cx="304800" cy="304800"/>
    <xdr:sp macro="" textlink="">
      <xdr:nvSpPr>
        <xdr:cNvPr id="43" name="AutoShape 4">
          <a:extLst>
            <a:ext uri="{FF2B5EF4-FFF2-40B4-BE49-F238E27FC236}">
              <a16:creationId xmlns:a16="http://schemas.microsoft.com/office/drawing/2014/main" id="{00000000-0008-0000-0000-00002B000000}"/>
            </a:ext>
          </a:extLst>
        </xdr:cNvPr>
        <xdr:cNvSpPr>
          <a:spLocks noChangeAspect="1" noChangeArrowheads="1"/>
        </xdr:cNvSpPr>
      </xdr:nvSpPr>
      <xdr:spPr bwMode="auto">
        <a:xfrm>
          <a:off x="9544050" y="7749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403</xdr:row>
      <xdr:rowOff>0</xdr:rowOff>
    </xdr:from>
    <xdr:ext cx="304800" cy="304800"/>
    <xdr:sp macro="" textlink="">
      <xdr:nvSpPr>
        <xdr:cNvPr id="44" name="AutoShape 5">
          <a:extLst>
            <a:ext uri="{FF2B5EF4-FFF2-40B4-BE49-F238E27FC236}">
              <a16:creationId xmlns:a16="http://schemas.microsoft.com/office/drawing/2014/main" id="{00000000-0008-0000-0000-00002C000000}"/>
            </a:ext>
          </a:extLst>
        </xdr:cNvPr>
        <xdr:cNvSpPr>
          <a:spLocks noChangeAspect="1" noChangeArrowheads="1"/>
        </xdr:cNvSpPr>
      </xdr:nvSpPr>
      <xdr:spPr bwMode="auto">
        <a:xfrm>
          <a:off x="9544050" y="7749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430</xdr:row>
      <xdr:rowOff>0</xdr:rowOff>
    </xdr:from>
    <xdr:ext cx="304800" cy="304800"/>
    <xdr:sp macro="" textlink="">
      <xdr:nvSpPr>
        <xdr:cNvPr id="45" name="AutoShape 4">
          <a:extLst>
            <a:ext uri="{FF2B5EF4-FFF2-40B4-BE49-F238E27FC236}">
              <a16:creationId xmlns:a16="http://schemas.microsoft.com/office/drawing/2014/main" id="{00000000-0008-0000-0000-00002D000000}"/>
            </a:ext>
          </a:extLst>
        </xdr:cNvPr>
        <xdr:cNvSpPr>
          <a:spLocks noChangeAspect="1" noChangeArrowheads="1"/>
        </xdr:cNvSpPr>
      </xdr:nvSpPr>
      <xdr:spPr bwMode="auto">
        <a:xfrm>
          <a:off x="9544050" y="8269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436</xdr:row>
      <xdr:rowOff>0</xdr:rowOff>
    </xdr:from>
    <xdr:ext cx="304800" cy="304800"/>
    <xdr:sp macro="" textlink="">
      <xdr:nvSpPr>
        <xdr:cNvPr id="46" name="AutoShape 5">
          <a:extLst>
            <a:ext uri="{FF2B5EF4-FFF2-40B4-BE49-F238E27FC236}">
              <a16:creationId xmlns:a16="http://schemas.microsoft.com/office/drawing/2014/main" id="{00000000-0008-0000-0000-00002E000000}"/>
            </a:ext>
          </a:extLst>
        </xdr:cNvPr>
        <xdr:cNvSpPr>
          <a:spLocks noChangeAspect="1" noChangeArrowheads="1"/>
        </xdr:cNvSpPr>
      </xdr:nvSpPr>
      <xdr:spPr bwMode="auto">
        <a:xfrm>
          <a:off x="9544050" y="8383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470</xdr:row>
      <xdr:rowOff>0</xdr:rowOff>
    </xdr:from>
    <xdr:ext cx="304800" cy="304800"/>
    <xdr:sp macro="" textlink="">
      <xdr:nvSpPr>
        <xdr:cNvPr id="47" name="AutoShape 4">
          <a:extLst>
            <a:ext uri="{FF2B5EF4-FFF2-40B4-BE49-F238E27FC236}">
              <a16:creationId xmlns:a16="http://schemas.microsoft.com/office/drawing/2014/main" id="{00000000-0008-0000-0000-00002F000000}"/>
            </a:ext>
          </a:extLst>
        </xdr:cNvPr>
        <xdr:cNvSpPr>
          <a:spLocks noChangeAspect="1" noChangeArrowheads="1"/>
        </xdr:cNvSpPr>
      </xdr:nvSpPr>
      <xdr:spPr bwMode="auto">
        <a:xfrm>
          <a:off x="9544050" y="90439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470</xdr:row>
      <xdr:rowOff>0</xdr:rowOff>
    </xdr:from>
    <xdr:ext cx="304800" cy="304800"/>
    <xdr:sp macro="" textlink="">
      <xdr:nvSpPr>
        <xdr:cNvPr id="48" name="AutoShape 5">
          <a:extLst>
            <a:ext uri="{FF2B5EF4-FFF2-40B4-BE49-F238E27FC236}">
              <a16:creationId xmlns:a16="http://schemas.microsoft.com/office/drawing/2014/main" id="{00000000-0008-0000-0000-000030000000}"/>
            </a:ext>
          </a:extLst>
        </xdr:cNvPr>
        <xdr:cNvSpPr>
          <a:spLocks noChangeAspect="1" noChangeArrowheads="1"/>
        </xdr:cNvSpPr>
      </xdr:nvSpPr>
      <xdr:spPr bwMode="auto">
        <a:xfrm>
          <a:off x="9544050" y="90439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497</xdr:row>
      <xdr:rowOff>0</xdr:rowOff>
    </xdr:from>
    <xdr:ext cx="304800" cy="304800"/>
    <xdr:sp macro="" textlink="">
      <xdr:nvSpPr>
        <xdr:cNvPr id="53" name="AutoShape 4">
          <a:extLst>
            <a:ext uri="{FF2B5EF4-FFF2-40B4-BE49-F238E27FC236}">
              <a16:creationId xmlns:a16="http://schemas.microsoft.com/office/drawing/2014/main" id="{00000000-0008-0000-0000-000035000000}"/>
            </a:ext>
          </a:extLst>
        </xdr:cNvPr>
        <xdr:cNvSpPr>
          <a:spLocks noChangeAspect="1" noChangeArrowheads="1"/>
        </xdr:cNvSpPr>
      </xdr:nvSpPr>
      <xdr:spPr bwMode="auto">
        <a:xfrm>
          <a:off x="9544050" y="9564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0</xdr:colOff>
      <xdr:row>503</xdr:row>
      <xdr:rowOff>0</xdr:rowOff>
    </xdr:from>
    <xdr:ext cx="304800" cy="304800"/>
    <xdr:sp macro="" textlink="">
      <xdr:nvSpPr>
        <xdr:cNvPr id="54" name="AutoShape 5">
          <a:extLst>
            <a:ext uri="{FF2B5EF4-FFF2-40B4-BE49-F238E27FC236}">
              <a16:creationId xmlns:a16="http://schemas.microsoft.com/office/drawing/2014/main" id="{00000000-0008-0000-0000-000036000000}"/>
            </a:ext>
          </a:extLst>
        </xdr:cNvPr>
        <xdr:cNvSpPr>
          <a:spLocks noChangeAspect="1" noChangeArrowheads="1"/>
        </xdr:cNvSpPr>
      </xdr:nvSpPr>
      <xdr:spPr bwMode="auto">
        <a:xfrm>
          <a:off x="9544050" y="96783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35</xdr:col>
      <xdr:colOff>0</xdr:colOff>
      <xdr:row>289</xdr:row>
      <xdr:rowOff>0</xdr:rowOff>
    </xdr:from>
    <xdr:to>
      <xdr:col>35</xdr:col>
      <xdr:colOff>304800</xdr:colOff>
      <xdr:row>290</xdr:row>
      <xdr:rowOff>0</xdr:rowOff>
    </xdr:to>
    <xdr:sp macro="" textlink="">
      <xdr:nvSpPr>
        <xdr:cNvPr id="55" name="AutoShape 1">
          <a:extLst>
            <a:ext uri="{FF2B5EF4-FFF2-40B4-BE49-F238E27FC236}">
              <a16:creationId xmlns:a16="http://schemas.microsoft.com/office/drawing/2014/main" id="{00000000-0008-0000-0000-000037000000}"/>
            </a:ext>
          </a:extLst>
        </xdr:cNvPr>
        <xdr:cNvSpPr>
          <a:spLocks noChangeAspect="1" noChangeArrowheads="1"/>
        </xdr:cNvSpPr>
      </xdr:nvSpPr>
      <xdr:spPr bwMode="auto">
        <a:xfrm>
          <a:off x="9544050" y="5509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22333</xdr:colOff>
      <xdr:row>344</xdr:row>
      <xdr:rowOff>155282</xdr:rowOff>
    </xdr:from>
    <xdr:ext cx="3751200" cy="2268000"/>
    <xdr:pic>
      <xdr:nvPicPr>
        <xdr:cNvPr id="2" name="image10.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627451" y="65463164"/>
          <a:ext cx="3751200" cy="2268000"/>
        </a:xfrm>
        <a:prstGeom prst="rect">
          <a:avLst/>
        </a:prstGeom>
        <a:noFill/>
      </xdr:spPr>
    </xdr:pic>
    <xdr:clientData fLocksWithSheet="0"/>
  </xdr:oneCellAnchor>
  <xdr:oneCellAnchor>
    <xdr:from>
      <xdr:col>1</xdr:col>
      <xdr:colOff>11206</xdr:colOff>
      <xdr:row>364</xdr:row>
      <xdr:rowOff>1521</xdr:rowOff>
    </xdr:from>
    <xdr:ext cx="3751200" cy="2268000"/>
    <xdr:pic>
      <xdr:nvPicPr>
        <xdr:cNvPr id="3" name="image19.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616324" y="69119403"/>
          <a:ext cx="3751200" cy="2268000"/>
        </a:xfrm>
        <a:prstGeom prst="rect">
          <a:avLst/>
        </a:prstGeom>
        <a:noFill/>
      </xdr:spPr>
    </xdr:pic>
    <xdr:clientData fLocksWithSheet="0"/>
  </xdr:oneCellAnchor>
  <xdr:oneCellAnchor>
    <xdr:from>
      <xdr:col>16</xdr:col>
      <xdr:colOff>201654</xdr:colOff>
      <xdr:row>344</xdr:row>
      <xdr:rowOff>155282</xdr:rowOff>
    </xdr:from>
    <xdr:ext cx="3751200" cy="2268000"/>
    <xdr:pic>
      <xdr:nvPicPr>
        <xdr:cNvPr id="4" name="image6.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xfrm>
          <a:off x="4504713" y="65463164"/>
          <a:ext cx="3751200" cy="2268000"/>
        </a:xfrm>
        <a:prstGeom prst="rect">
          <a:avLst/>
        </a:prstGeom>
        <a:noFill/>
      </xdr:spPr>
    </xdr:pic>
    <xdr:clientData fLocksWithSheet="0"/>
  </xdr:oneCellAnchor>
  <xdr:oneCellAnchor>
    <xdr:from>
      <xdr:col>16</xdr:col>
      <xdr:colOff>227347</xdr:colOff>
      <xdr:row>364</xdr:row>
      <xdr:rowOff>4721</xdr:rowOff>
    </xdr:from>
    <xdr:ext cx="3751200" cy="2268000"/>
    <xdr:pic>
      <xdr:nvPicPr>
        <xdr:cNvPr id="5" name="image7.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xfrm>
          <a:off x="4530406" y="69122603"/>
          <a:ext cx="3751200" cy="2268000"/>
        </a:xfrm>
        <a:prstGeom prst="rect">
          <a:avLst/>
        </a:prstGeom>
        <a:noFill/>
      </xdr:spPr>
    </xdr:pic>
    <xdr:clientData fLocksWithSheet="0"/>
  </xdr:oneCellAnchor>
  <xdr:oneCellAnchor>
    <xdr:from>
      <xdr:col>0</xdr:col>
      <xdr:colOff>600314</xdr:colOff>
      <xdr:row>383</xdr:row>
      <xdr:rowOff>9604</xdr:rowOff>
    </xdr:from>
    <xdr:ext cx="3751200" cy="2268000"/>
    <xdr:pic>
      <xdr:nvPicPr>
        <xdr:cNvPr id="7" name="image80.jp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5" cstate="print"/>
        <a:stretch>
          <a:fillRect/>
        </a:stretch>
      </xdr:blipFill>
      <xdr:spPr>
        <a:xfrm>
          <a:off x="600314" y="72746986"/>
          <a:ext cx="3751200" cy="2268000"/>
        </a:xfrm>
        <a:prstGeom prst="rect">
          <a:avLst/>
        </a:prstGeom>
        <a:noFill/>
      </xdr:spPr>
    </xdr:pic>
    <xdr:clientData fLocksWithSheet="0"/>
  </xdr:oneCellAnchor>
  <xdr:oneCellAnchor>
    <xdr:from>
      <xdr:col>16</xdr:col>
      <xdr:colOff>219339</xdr:colOff>
      <xdr:row>383</xdr:row>
      <xdr:rowOff>9604</xdr:rowOff>
    </xdr:from>
    <xdr:ext cx="3751200" cy="2268000"/>
    <xdr:pic>
      <xdr:nvPicPr>
        <xdr:cNvPr id="8" name="image75.jp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6" cstate="print"/>
        <a:stretch>
          <a:fillRect/>
        </a:stretch>
      </xdr:blipFill>
      <xdr:spPr>
        <a:xfrm>
          <a:off x="4522398" y="72746986"/>
          <a:ext cx="3751200" cy="2268000"/>
        </a:xfrm>
        <a:prstGeom prst="rect">
          <a:avLst/>
        </a:prstGeom>
        <a:noFill/>
      </xdr:spPr>
    </xdr:pic>
    <xdr:clientData fLocksWithSheet="0"/>
  </xdr:oneCellAnchor>
  <xdr:twoCellAnchor editAs="oneCell">
    <xdr:from>
      <xdr:col>17</xdr:col>
      <xdr:colOff>15671</xdr:colOff>
      <xdr:row>298</xdr:row>
      <xdr:rowOff>14079</xdr:rowOff>
    </xdr:from>
    <xdr:to>
      <xdr:col>32</xdr:col>
      <xdr:colOff>9202</xdr:colOff>
      <xdr:row>309</xdr:row>
      <xdr:rowOff>186579</xdr:rowOff>
    </xdr:to>
    <xdr:pic>
      <xdr:nvPicPr>
        <xdr:cNvPr id="9" name="Imagem 8">
          <a:extLst>
            <a:ext uri="{FF2B5EF4-FFF2-40B4-BE49-F238E27FC236}">
              <a16:creationId xmlns:a16="http://schemas.microsoft.com/office/drawing/2014/main" id="{C6548871-FA21-44C9-9791-0BBA3CCFB6AA}"/>
            </a:ext>
          </a:extLst>
        </xdr:cNvPr>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623390" y="56366360"/>
          <a:ext cx="3744000" cy="2268000"/>
        </a:xfrm>
        <a:prstGeom prst="rect">
          <a:avLst/>
        </a:prstGeom>
      </xdr:spPr>
    </xdr:pic>
    <xdr:clientData/>
  </xdr:twoCellAnchor>
  <xdr:twoCellAnchor editAs="oneCell">
    <xdr:from>
      <xdr:col>1</xdr:col>
      <xdr:colOff>6918</xdr:colOff>
      <xdr:row>298</xdr:row>
      <xdr:rowOff>14590</xdr:rowOff>
    </xdr:from>
    <xdr:to>
      <xdr:col>16</xdr:col>
      <xdr:colOff>449</xdr:colOff>
      <xdr:row>309</xdr:row>
      <xdr:rowOff>187090</xdr:rowOff>
    </xdr:to>
    <xdr:pic>
      <xdr:nvPicPr>
        <xdr:cNvPr id="10" name="Imagem 9">
          <a:extLst>
            <a:ext uri="{FF2B5EF4-FFF2-40B4-BE49-F238E27FC236}">
              <a16:creationId xmlns:a16="http://schemas.microsoft.com/office/drawing/2014/main" id="{A96CFD3D-706B-4602-9596-FD892C0C9C19}"/>
            </a:ext>
          </a:extLst>
        </xdr:cNvPr>
        <xdr:cNvPicPr preferRelativeResize="0">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4137" y="56366871"/>
          <a:ext cx="3744000" cy="2268000"/>
        </a:xfrm>
        <a:prstGeom prst="rect">
          <a:avLst/>
        </a:prstGeom>
      </xdr:spPr>
    </xdr:pic>
    <xdr:clientData/>
  </xdr:twoCellAnchor>
  <xdr:twoCellAnchor editAs="oneCell">
    <xdr:from>
      <xdr:col>17</xdr:col>
      <xdr:colOff>7428</xdr:colOff>
      <xdr:row>279</xdr:row>
      <xdr:rowOff>9807</xdr:rowOff>
    </xdr:from>
    <xdr:to>
      <xdr:col>32</xdr:col>
      <xdr:colOff>959</xdr:colOff>
      <xdr:row>290</xdr:row>
      <xdr:rowOff>182307</xdr:rowOff>
    </xdr:to>
    <xdr:pic>
      <xdr:nvPicPr>
        <xdr:cNvPr id="11" name="Imagem 10">
          <a:extLst>
            <a:ext uri="{FF2B5EF4-FFF2-40B4-BE49-F238E27FC236}">
              <a16:creationId xmlns:a16="http://schemas.microsoft.com/office/drawing/2014/main" id="{0A896FC8-A7E3-4BEF-BA31-967A1A05C47C}"/>
            </a:ext>
          </a:extLst>
        </xdr:cNvPr>
        <xdr:cNvPicPr preferRelativeResize="0">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15147" y="52718776"/>
          <a:ext cx="3744000" cy="2268000"/>
        </a:xfrm>
        <a:prstGeom prst="rect">
          <a:avLst/>
        </a:prstGeom>
      </xdr:spPr>
    </xdr:pic>
    <xdr:clientData/>
  </xdr:twoCellAnchor>
  <xdr:twoCellAnchor editAs="oneCell">
    <xdr:from>
      <xdr:col>17</xdr:col>
      <xdr:colOff>14044</xdr:colOff>
      <xdr:row>317</xdr:row>
      <xdr:rowOff>11908</xdr:rowOff>
    </xdr:from>
    <xdr:to>
      <xdr:col>32</xdr:col>
      <xdr:colOff>7575</xdr:colOff>
      <xdr:row>328</xdr:row>
      <xdr:rowOff>184408</xdr:rowOff>
    </xdr:to>
    <xdr:pic>
      <xdr:nvPicPr>
        <xdr:cNvPr id="14" name="Imagem 13">
          <a:extLst>
            <a:ext uri="{FF2B5EF4-FFF2-40B4-BE49-F238E27FC236}">
              <a16:creationId xmlns:a16="http://schemas.microsoft.com/office/drawing/2014/main" id="{61C63F32-85C0-4902-95EE-A449A50AB420}"/>
            </a:ext>
          </a:extLst>
        </xdr:cNvPr>
        <xdr:cNvPicPr preferRelativeResize="0">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4410" r="642"/>
        <a:stretch/>
      </xdr:blipFill>
      <xdr:spPr>
        <a:xfrm>
          <a:off x="4621763" y="59995596"/>
          <a:ext cx="3744000" cy="2268000"/>
        </a:xfrm>
        <a:prstGeom prst="rect">
          <a:avLst/>
        </a:prstGeom>
      </xdr:spPr>
    </xdr:pic>
    <xdr:clientData/>
  </xdr:twoCellAnchor>
  <xdr:twoCellAnchor editAs="oneCell">
    <xdr:from>
      <xdr:col>1</xdr:col>
      <xdr:colOff>11911</xdr:colOff>
      <xdr:row>317</xdr:row>
      <xdr:rowOff>10590</xdr:rowOff>
    </xdr:from>
    <xdr:to>
      <xdr:col>16</xdr:col>
      <xdr:colOff>5442</xdr:colOff>
      <xdr:row>328</xdr:row>
      <xdr:rowOff>183090</xdr:rowOff>
    </xdr:to>
    <xdr:pic>
      <xdr:nvPicPr>
        <xdr:cNvPr id="20" name="Imagem 19">
          <a:extLst>
            <a:ext uri="{FF2B5EF4-FFF2-40B4-BE49-F238E27FC236}">
              <a16:creationId xmlns:a16="http://schemas.microsoft.com/office/drawing/2014/main" id="{0FCD11A6-1C5B-4818-BC31-035FCD98965A}"/>
            </a:ext>
          </a:extLst>
        </xdr:cNvPr>
        <xdr:cNvPicPr preferRelativeResize="0">
          <a:picLocks/>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4814" r="756"/>
        <a:stretch/>
      </xdr:blipFill>
      <xdr:spPr>
        <a:xfrm>
          <a:off x="619130" y="59994278"/>
          <a:ext cx="3744000" cy="2268000"/>
        </a:xfrm>
        <a:prstGeom prst="rect">
          <a:avLst/>
        </a:prstGeom>
      </xdr:spPr>
    </xdr:pic>
    <xdr:clientData/>
  </xdr:twoCellAnchor>
  <xdr:twoCellAnchor editAs="oneCell">
    <xdr:from>
      <xdr:col>1</xdr:col>
      <xdr:colOff>3501</xdr:colOff>
      <xdr:row>279</xdr:row>
      <xdr:rowOff>13138</xdr:rowOff>
    </xdr:from>
    <xdr:to>
      <xdr:col>15</xdr:col>
      <xdr:colOff>245612</xdr:colOff>
      <xdr:row>290</xdr:row>
      <xdr:rowOff>185638</xdr:rowOff>
    </xdr:to>
    <xdr:pic>
      <xdr:nvPicPr>
        <xdr:cNvPr id="15" name="Imagem 14">
          <a:extLst>
            <a:ext uri="{FF2B5EF4-FFF2-40B4-BE49-F238E27FC236}">
              <a16:creationId xmlns:a16="http://schemas.microsoft.com/office/drawing/2014/main" id="{9A6B0123-AD0E-E81D-493B-F1552CA0E4EF}"/>
            </a:ext>
          </a:extLst>
        </xdr:cNvPr>
        <xdr:cNvPicPr preferRelativeResize="0">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4415" y="52735655"/>
          <a:ext cx="3736800" cy="226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190500</xdr:colOff>
      <xdr:row>103</xdr:row>
      <xdr:rowOff>1</xdr:rowOff>
    </xdr:from>
    <xdr:to>
      <xdr:col>25</xdr:col>
      <xdr:colOff>536864</xdr:colOff>
      <xdr:row>122</xdr:row>
      <xdr:rowOff>17319</xdr:rowOff>
    </xdr:to>
    <xdr:sp macro="" textlink="">
      <xdr:nvSpPr>
        <xdr:cNvPr id="2" name="CaixaDeTexto 1">
          <a:extLst>
            <a:ext uri="{FF2B5EF4-FFF2-40B4-BE49-F238E27FC236}">
              <a16:creationId xmlns:a16="http://schemas.microsoft.com/office/drawing/2014/main" id="{00000000-0008-0000-0200-000002000000}"/>
            </a:ext>
          </a:extLst>
        </xdr:cNvPr>
        <xdr:cNvSpPr txBox="1"/>
      </xdr:nvSpPr>
      <xdr:spPr>
        <a:xfrm>
          <a:off x="247650" y="10906126"/>
          <a:ext cx="19710689" cy="18270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400" b="1" u="sng">
              <a:latin typeface="Arial" pitchFamily="34" charset="0"/>
              <a:cs typeface="Arial" pitchFamily="34" charset="0"/>
            </a:rPr>
            <a:t>OBSERVAÇÕES</a:t>
          </a:r>
        </a:p>
        <a:p>
          <a:endParaRPr lang="pt-BR" sz="1400" b="1" u="sng">
            <a:latin typeface="Arial" pitchFamily="34" charset="0"/>
            <a:cs typeface="Arial" pitchFamily="34" charset="0"/>
          </a:endParaRPr>
        </a:p>
        <a:p>
          <a:pPr marL="342900" indent="-342900">
            <a:lnSpc>
              <a:spcPct val="150000"/>
            </a:lnSpc>
            <a:buFont typeface="+mj-lt"/>
            <a:buAutoNum type="arabicPeriod"/>
          </a:pPr>
          <a:r>
            <a:rPr lang="pt-BR" sz="1400" b="0" u="none">
              <a:latin typeface="Arial" pitchFamily="34" charset="0"/>
              <a:cs typeface="Arial" pitchFamily="34" charset="0"/>
            </a:rPr>
            <a:t>O</a:t>
          </a:r>
          <a:r>
            <a:rPr lang="pt-BR" sz="1400" b="0" u="none" baseline="0">
              <a:latin typeface="Arial" pitchFamily="34" charset="0"/>
              <a:cs typeface="Arial" pitchFamily="34" charset="0"/>
            </a:rPr>
            <a:t> objetivo da curva "S" é a representação das informações gerenciais financeiras para acompanhamento do andamento dos contratos. </a:t>
          </a:r>
          <a:r>
            <a:rPr lang="pt-BR" sz="1400" b="0" u="none" baseline="0">
              <a:solidFill>
                <a:schemeClr val="dk1"/>
              </a:solidFill>
              <a:latin typeface="Arial" pitchFamily="34" charset="0"/>
              <a:ea typeface="+mn-ea"/>
              <a:cs typeface="Arial" pitchFamily="34" charset="0"/>
            </a:rPr>
            <a:t>A sua representação gráfica  permite a  comparação entre os serviços previstos e realizados.</a:t>
          </a:r>
        </a:p>
        <a:p>
          <a:pPr marL="342900" indent="-342900">
            <a:lnSpc>
              <a:spcPct val="150000"/>
            </a:lnSpc>
            <a:buFont typeface="+mj-lt"/>
            <a:buAutoNum type="arabicPeriod"/>
          </a:pPr>
          <a:r>
            <a:rPr lang="pt-BR" sz="1400" b="0" u="none" baseline="0">
              <a:solidFill>
                <a:schemeClr val="dk1"/>
              </a:solidFill>
              <a:latin typeface="Arial" pitchFamily="34" charset="0"/>
              <a:ea typeface="+mn-ea"/>
              <a:cs typeface="Arial" pitchFamily="34" charset="0"/>
            </a:rPr>
            <a:t>Para a avaliação do bom andamento do contrato, é indispensável a apresentação por parte da empreiteira o Plano  de  Trabalho, que conste o cronograma previsto para conclusão das obras e que este seja atualizado trimestralmente.</a:t>
          </a:r>
        </a:p>
        <a:p>
          <a:pPr marL="285750" indent="-285750">
            <a:buFont typeface="Arial" pitchFamily="34" charset="0"/>
            <a:buChar char="•"/>
          </a:pPr>
          <a:endParaRPr lang="pt-BR" sz="1400" b="0" u="none" baseline="0">
            <a:solidFill>
              <a:schemeClr val="dk1"/>
            </a:solidFill>
            <a:latin typeface="Arial" pitchFamily="34" charset="0"/>
            <a:ea typeface="+mn-ea"/>
            <a:cs typeface="Arial" pitchFamily="34" charset="0"/>
          </a:endParaRPr>
        </a:p>
      </xdr:txBody>
    </xdr:sp>
    <xdr:clientData/>
  </xdr:twoCellAnchor>
  <xdr:twoCellAnchor>
    <xdr:from>
      <xdr:col>1</xdr:col>
      <xdr:colOff>178128</xdr:colOff>
      <xdr:row>7</xdr:row>
      <xdr:rowOff>89647</xdr:rowOff>
    </xdr:from>
    <xdr:to>
      <xdr:col>25</xdr:col>
      <xdr:colOff>542925</xdr:colOff>
      <xdr:row>102</xdr:row>
      <xdr:rowOff>22412</xdr:rowOff>
    </xdr:to>
    <xdr:graphicFrame macro="">
      <xdr:nvGraphicFramePr>
        <xdr:cNvPr id="3" name="Chart 1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103</xdr:row>
      <xdr:rowOff>1</xdr:rowOff>
    </xdr:from>
    <xdr:to>
      <xdr:col>25</xdr:col>
      <xdr:colOff>536864</xdr:colOff>
      <xdr:row>122</xdr:row>
      <xdr:rowOff>17319</xdr:rowOff>
    </xdr:to>
    <xdr:sp macro="" textlink="">
      <xdr:nvSpPr>
        <xdr:cNvPr id="4" name="CaixaDeTexto 3">
          <a:extLst>
            <a:ext uri="{FF2B5EF4-FFF2-40B4-BE49-F238E27FC236}">
              <a16:creationId xmlns:a16="http://schemas.microsoft.com/office/drawing/2014/main" id="{00000000-0008-0000-0200-000004000000}"/>
            </a:ext>
          </a:extLst>
        </xdr:cNvPr>
        <xdr:cNvSpPr txBox="1"/>
      </xdr:nvSpPr>
      <xdr:spPr>
        <a:xfrm>
          <a:off x="247650" y="10906126"/>
          <a:ext cx="19710689" cy="18270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400" b="1" u="sng">
              <a:latin typeface="Arial" pitchFamily="34" charset="0"/>
              <a:cs typeface="Arial" pitchFamily="34" charset="0"/>
            </a:rPr>
            <a:t>OBSERVAÇÕES</a:t>
          </a:r>
        </a:p>
        <a:p>
          <a:endParaRPr lang="pt-BR" sz="1400" b="1" u="sng">
            <a:latin typeface="Arial" pitchFamily="34" charset="0"/>
            <a:cs typeface="Arial" pitchFamily="34" charset="0"/>
          </a:endParaRPr>
        </a:p>
        <a:p>
          <a:pPr marL="342900" indent="-342900">
            <a:lnSpc>
              <a:spcPct val="150000"/>
            </a:lnSpc>
            <a:buFont typeface="+mj-lt"/>
            <a:buAutoNum type="arabicPeriod"/>
          </a:pPr>
          <a:r>
            <a:rPr lang="pt-BR" sz="1400" b="0" u="none">
              <a:latin typeface="Arial" pitchFamily="34" charset="0"/>
              <a:cs typeface="Arial" pitchFamily="34" charset="0"/>
            </a:rPr>
            <a:t>O</a:t>
          </a:r>
          <a:r>
            <a:rPr lang="pt-BR" sz="1400" b="0" u="none" baseline="0">
              <a:latin typeface="Arial" pitchFamily="34" charset="0"/>
              <a:cs typeface="Arial" pitchFamily="34" charset="0"/>
            </a:rPr>
            <a:t> objetivo da curva "S" é a representação das informações gerenciais financeiras para acompanhamento do andamento dos contratos. </a:t>
          </a:r>
          <a:r>
            <a:rPr lang="pt-BR" sz="1400" b="0" u="none" baseline="0">
              <a:solidFill>
                <a:schemeClr val="dk1"/>
              </a:solidFill>
              <a:latin typeface="Arial" pitchFamily="34" charset="0"/>
              <a:ea typeface="+mn-ea"/>
              <a:cs typeface="Arial" pitchFamily="34" charset="0"/>
            </a:rPr>
            <a:t>A sua representação gráfica permite a comparação entre os serviços previstos e realizados.</a:t>
          </a:r>
        </a:p>
        <a:p>
          <a:pPr marL="342900" indent="-342900">
            <a:lnSpc>
              <a:spcPct val="150000"/>
            </a:lnSpc>
            <a:buFont typeface="+mj-lt"/>
            <a:buAutoNum type="arabicPeriod"/>
          </a:pPr>
          <a:r>
            <a:rPr lang="pt-BR" sz="1400" b="0" u="none" baseline="0">
              <a:solidFill>
                <a:schemeClr val="dk1"/>
              </a:solidFill>
              <a:latin typeface="Arial" pitchFamily="34" charset="0"/>
              <a:ea typeface="+mn-ea"/>
              <a:cs typeface="Arial" pitchFamily="34" charset="0"/>
            </a:rPr>
            <a:t>Para a avaliação do bom andamento do contrato, é indispensável a apresentação por parte da empreiteira o Plano de Trabalho, que conste o cronograma previsto para conclusão das obras e que este seja atualizado trimestralmente.</a:t>
          </a:r>
        </a:p>
        <a:p>
          <a:pPr marL="285750" indent="-285750">
            <a:buFont typeface="Arial" pitchFamily="34" charset="0"/>
            <a:buChar char="•"/>
          </a:pPr>
          <a:endParaRPr lang="pt-BR" sz="1400" b="0" u="none" baseline="0">
            <a:solidFill>
              <a:schemeClr val="dk1"/>
            </a:solidFill>
            <a:latin typeface="Arial" pitchFamily="34" charset="0"/>
            <a:ea typeface="+mn-ea"/>
            <a:cs typeface="Arial" pitchFamily="34" charset="0"/>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0.24959</cdr:x>
      <cdr:y>0.64405</cdr:y>
    </cdr:from>
    <cdr:to>
      <cdr:x>0.24959</cdr:x>
      <cdr:y>0.64405</cdr:y>
    </cdr:to>
    <cdr:sp macro="" textlink="">
      <cdr:nvSpPr>
        <cdr:cNvPr id="17409" name="Line 1"/>
        <cdr:cNvSpPr>
          <a:spLocks xmlns:a="http://schemas.openxmlformats.org/drawingml/2006/main" noChangeShapeType="1"/>
        </cdr:cNvSpPr>
      </cdr:nvSpPr>
      <cdr:spPr bwMode="auto">
        <a:xfrm xmlns:a="http://schemas.openxmlformats.org/drawingml/2006/main" flipH="1">
          <a:off x="4465473" y="5266652"/>
          <a:ext cx="0"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pt-B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104775</xdr:colOff>
      <xdr:row>0</xdr:row>
      <xdr:rowOff>95250</xdr:rowOff>
    </xdr:from>
    <xdr:to>
      <xdr:col>2</xdr:col>
      <xdr:colOff>24640</xdr:colOff>
      <xdr:row>3</xdr:row>
      <xdr:rowOff>163304</xdr:rowOff>
    </xdr:to>
    <xdr:pic>
      <xdr:nvPicPr>
        <xdr:cNvPr id="7" name="Imagem 10">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cstate="screen">
          <a:lum contrast="18000"/>
          <a:extLst>
            <a:ext uri="{28A0092B-C50C-407E-A947-70E740481C1C}">
              <a14:useLocalDpi xmlns:a14="http://schemas.microsoft.com/office/drawing/2010/main"/>
            </a:ext>
          </a:extLst>
        </a:blip>
        <a:srcRect/>
        <a:stretch>
          <a:fillRect/>
        </a:stretch>
      </xdr:blipFill>
      <xdr:spPr bwMode="auto">
        <a:xfrm>
          <a:off x="714375" y="95250"/>
          <a:ext cx="862840" cy="6681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114301</xdr:colOff>
      <xdr:row>0</xdr:row>
      <xdr:rowOff>161926</xdr:rowOff>
    </xdr:from>
    <xdr:to>
      <xdr:col>4</xdr:col>
      <xdr:colOff>138984</xdr:colOff>
      <xdr:row>4</xdr:row>
      <xdr:rowOff>19050</xdr:rowOff>
    </xdr:to>
    <xdr:pic>
      <xdr:nvPicPr>
        <xdr:cNvPr id="8" name="Imagem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877051" y="161926"/>
          <a:ext cx="700958" cy="6572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1456765</xdr:colOff>
      <xdr:row>1</xdr:row>
      <xdr:rowOff>156882</xdr:rowOff>
    </xdr:from>
    <xdr:to>
      <xdr:col>2</xdr:col>
      <xdr:colOff>2374361</xdr:colOff>
      <xdr:row>4</xdr:row>
      <xdr:rowOff>138472</xdr:rowOff>
    </xdr:to>
    <xdr:pic>
      <xdr:nvPicPr>
        <xdr:cNvPr id="2" name="Image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3272118" y="336176"/>
          <a:ext cx="917596" cy="721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71445</xdr:colOff>
      <xdr:row>1</xdr:row>
      <xdr:rowOff>47624</xdr:rowOff>
    </xdr:from>
    <xdr:to>
      <xdr:col>11</xdr:col>
      <xdr:colOff>532299</xdr:colOff>
      <xdr:row>4</xdr:row>
      <xdr:rowOff>226217</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192008" y="226218"/>
          <a:ext cx="2401572" cy="928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5554515</xdr:colOff>
      <xdr:row>0</xdr:row>
      <xdr:rowOff>68036</xdr:rowOff>
    </xdr:from>
    <xdr:to>
      <xdr:col>5</xdr:col>
      <xdr:colOff>95709</xdr:colOff>
      <xdr:row>4</xdr:row>
      <xdr:rowOff>0</xdr:rowOff>
    </xdr:to>
    <xdr:pic>
      <xdr:nvPicPr>
        <xdr:cNvPr id="2" name="Image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116615" y="68036"/>
          <a:ext cx="773265" cy="579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244940</xdr:colOff>
      <xdr:row>0</xdr:row>
      <xdr:rowOff>54429</xdr:rowOff>
    </xdr:from>
    <xdr:to>
      <xdr:col>19</xdr:col>
      <xdr:colOff>405568</xdr:colOff>
      <xdr:row>3</xdr:row>
      <xdr:rowOff>132855</xdr:rowOff>
    </xdr:to>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886976" y="54429"/>
          <a:ext cx="1605642" cy="5682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152400</xdr:colOff>
      <xdr:row>12</xdr:row>
      <xdr:rowOff>0</xdr:rowOff>
    </xdr:from>
    <xdr:ext cx="184731" cy="264560"/>
    <xdr:sp macro="" textlink="">
      <xdr:nvSpPr>
        <xdr:cNvPr id="2" name="CaixaDeTexto 1">
          <a:extLst>
            <a:ext uri="{FF2B5EF4-FFF2-40B4-BE49-F238E27FC236}">
              <a16:creationId xmlns:a16="http://schemas.microsoft.com/office/drawing/2014/main" id="{00000000-0008-0000-0700-000002000000}"/>
            </a:ext>
          </a:extLst>
        </xdr:cNvPr>
        <xdr:cNvSpPr txBox="1"/>
      </xdr:nvSpPr>
      <xdr:spPr>
        <a:xfrm>
          <a:off x="1524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4" name="CaixaDeTexto 3">
          <a:extLst>
            <a:ext uri="{FF2B5EF4-FFF2-40B4-BE49-F238E27FC236}">
              <a16:creationId xmlns:a16="http://schemas.microsoft.com/office/drawing/2014/main" id="{00000000-0008-0000-0700-000004000000}"/>
            </a:ext>
          </a:extLst>
        </xdr:cNvPr>
        <xdr:cNvSpPr txBox="1"/>
      </xdr:nvSpPr>
      <xdr:spPr>
        <a:xfrm>
          <a:off x="1524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5" name="CaixaDeTexto 4">
          <a:extLst>
            <a:ext uri="{FF2B5EF4-FFF2-40B4-BE49-F238E27FC236}">
              <a16:creationId xmlns:a16="http://schemas.microsoft.com/office/drawing/2014/main" id="{00000000-0008-0000-0700-000005000000}"/>
            </a:ext>
          </a:extLst>
        </xdr:cNvPr>
        <xdr:cNvSpPr txBox="1"/>
      </xdr:nvSpPr>
      <xdr:spPr>
        <a:xfrm>
          <a:off x="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6" name="CaixaDeTexto 5">
          <a:extLst>
            <a:ext uri="{FF2B5EF4-FFF2-40B4-BE49-F238E27FC236}">
              <a16:creationId xmlns:a16="http://schemas.microsoft.com/office/drawing/2014/main" id="{00000000-0008-0000-0700-000006000000}"/>
            </a:ext>
          </a:extLst>
        </xdr:cNvPr>
        <xdr:cNvSpPr txBox="1"/>
      </xdr:nvSpPr>
      <xdr:spPr>
        <a:xfrm>
          <a:off x="1524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7" name="CaixaDeTexto 6">
          <a:extLst>
            <a:ext uri="{FF2B5EF4-FFF2-40B4-BE49-F238E27FC236}">
              <a16:creationId xmlns:a16="http://schemas.microsoft.com/office/drawing/2014/main" id="{00000000-0008-0000-0700-000007000000}"/>
            </a:ext>
          </a:extLst>
        </xdr:cNvPr>
        <xdr:cNvSpPr txBox="1"/>
      </xdr:nvSpPr>
      <xdr:spPr>
        <a:xfrm>
          <a:off x="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10" name="CaixaDeTexto 9">
          <a:extLst>
            <a:ext uri="{FF2B5EF4-FFF2-40B4-BE49-F238E27FC236}">
              <a16:creationId xmlns:a16="http://schemas.microsoft.com/office/drawing/2014/main" id="{00000000-0008-0000-0700-00000A000000}"/>
            </a:ext>
          </a:extLst>
        </xdr:cNvPr>
        <xdr:cNvSpPr txBox="1"/>
      </xdr:nvSpPr>
      <xdr:spPr>
        <a:xfrm>
          <a:off x="15240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11" name="CaixaDeTexto 10">
          <a:extLst>
            <a:ext uri="{FF2B5EF4-FFF2-40B4-BE49-F238E27FC236}">
              <a16:creationId xmlns:a16="http://schemas.microsoft.com/office/drawing/2014/main" id="{00000000-0008-0000-0700-00000B000000}"/>
            </a:ext>
          </a:extLst>
        </xdr:cNvPr>
        <xdr:cNvSpPr txBox="1"/>
      </xdr:nvSpPr>
      <xdr:spPr>
        <a:xfrm>
          <a:off x="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12" name="CaixaDeTexto 11">
          <a:extLst>
            <a:ext uri="{FF2B5EF4-FFF2-40B4-BE49-F238E27FC236}">
              <a16:creationId xmlns:a16="http://schemas.microsoft.com/office/drawing/2014/main" id="{00000000-0008-0000-0700-00000C000000}"/>
            </a:ext>
          </a:extLst>
        </xdr:cNvPr>
        <xdr:cNvSpPr txBox="1"/>
      </xdr:nvSpPr>
      <xdr:spPr>
        <a:xfrm>
          <a:off x="15240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13" name="CaixaDeTexto 12">
          <a:extLst>
            <a:ext uri="{FF2B5EF4-FFF2-40B4-BE49-F238E27FC236}">
              <a16:creationId xmlns:a16="http://schemas.microsoft.com/office/drawing/2014/main" id="{00000000-0008-0000-0700-00000D000000}"/>
            </a:ext>
          </a:extLst>
        </xdr:cNvPr>
        <xdr:cNvSpPr txBox="1"/>
      </xdr:nvSpPr>
      <xdr:spPr>
        <a:xfrm>
          <a:off x="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14" name="CaixaDeTexto 13">
          <a:extLst>
            <a:ext uri="{FF2B5EF4-FFF2-40B4-BE49-F238E27FC236}">
              <a16:creationId xmlns:a16="http://schemas.microsoft.com/office/drawing/2014/main" id="{00000000-0008-0000-0700-00000E000000}"/>
            </a:ext>
          </a:extLst>
        </xdr:cNvPr>
        <xdr:cNvSpPr txBox="1"/>
      </xdr:nvSpPr>
      <xdr:spPr>
        <a:xfrm>
          <a:off x="15240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15" name="CaixaDeTexto 14">
          <a:extLst>
            <a:ext uri="{FF2B5EF4-FFF2-40B4-BE49-F238E27FC236}">
              <a16:creationId xmlns:a16="http://schemas.microsoft.com/office/drawing/2014/main" id="{00000000-0008-0000-0700-00000F000000}"/>
            </a:ext>
          </a:extLst>
        </xdr:cNvPr>
        <xdr:cNvSpPr txBox="1"/>
      </xdr:nvSpPr>
      <xdr:spPr>
        <a:xfrm>
          <a:off x="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17</xdr:row>
      <xdr:rowOff>0</xdr:rowOff>
    </xdr:from>
    <xdr:ext cx="184731" cy="264560"/>
    <xdr:sp macro="" textlink="">
      <xdr:nvSpPr>
        <xdr:cNvPr id="16" name="CaixaDeTexto 15">
          <a:extLst>
            <a:ext uri="{FF2B5EF4-FFF2-40B4-BE49-F238E27FC236}">
              <a16:creationId xmlns:a16="http://schemas.microsoft.com/office/drawing/2014/main" id="{00000000-0008-0000-0700-000010000000}"/>
            </a:ext>
          </a:extLst>
        </xdr:cNvPr>
        <xdr:cNvSpPr txBox="1"/>
      </xdr:nvSpPr>
      <xdr:spPr>
        <a:xfrm>
          <a:off x="152400" y="1223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17</xdr:row>
      <xdr:rowOff>0</xdr:rowOff>
    </xdr:from>
    <xdr:ext cx="184731" cy="264560"/>
    <xdr:sp macro="" textlink="">
      <xdr:nvSpPr>
        <xdr:cNvPr id="17" name="CaixaDeTexto 16">
          <a:extLst>
            <a:ext uri="{FF2B5EF4-FFF2-40B4-BE49-F238E27FC236}">
              <a16:creationId xmlns:a16="http://schemas.microsoft.com/office/drawing/2014/main" id="{00000000-0008-0000-0700-000011000000}"/>
            </a:ext>
          </a:extLst>
        </xdr:cNvPr>
        <xdr:cNvSpPr txBox="1"/>
      </xdr:nvSpPr>
      <xdr:spPr>
        <a:xfrm>
          <a:off x="0" y="1223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17</xdr:row>
      <xdr:rowOff>0</xdr:rowOff>
    </xdr:from>
    <xdr:ext cx="184731" cy="264560"/>
    <xdr:sp macro="" textlink="">
      <xdr:nvSpPr>
        <xdr:cNvPr id="18" name="CaixaDeTexto 17">
          <a:extLst>
            <a:ext uri="{FF2B5EF4-FFF2-40B4-BE49-F238E27FC236}">
              <a16:creationId xmlns:a16="http://schemas.microsoft.com/office/drawing/2014/main" id="{00000000-0008-0000-0700-000012000000}"/>
            </a:ext>
          </a:extLst>
        </xdr:cNvPr>
        <xdr:cNvSpPr txBox="1"/>
      </xdr:nvSpPr>
      <xdr:spPr>
        <a:xfrm>
          <a:off x="152400" y="1223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17</xdr:row>
      <xdr:rowOff>0</xdr:rowOff>
    </xdr:from>
    <xdr:ext cx="184731" cy="264560"/>
    <xdr:sp macro="" textlink="">
      <xdr:nvSpPr>
        <xdr:cNvPr id="19" name="CaixaDeTexto 18">
          <a:extLst>
            <a:ext uri="{FF2B5EF4-FFF2-40B4-BE49-F238E27FC236}">
              <a16:creationId xmlns:a16="http://schemas.microsoft.com/office/drawing/2014/main" id="{00000000-0008-0000-0700-000013000000}"/>
            </a:ext>
          </a:extLst>
        </xdr:cNvPr>
        <xdr:cNvSpPr txBox="1"/>
      </xdr:nvSpPr>
      <xdr:spPr>
        <a:xfrm>
          <a:off x="0" y="1223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17</xdr:row>
      <xdr:rowOff>0</xdr:rowOff>
    </xdr:from>
    <xdr:ext cx="184731" cy="264560"/>
    <xdr:sp macro="" textlink="">
      <xdr:nvSpPr>
        <xdr:cNvPr id="20" name="CaixaDeTexto 19">
          <a:extLst>
            <a:ext uri="{FF2B5EF4-FFF2-40B4-BE49-F238E27FC236}">
              <a16:creationId xmlns:a16="http://schemas.microsoft.com/office/drawing/2014/main" id="{00000000-0008-0000-0700-000014000000}"/>
            </a:ext>
          </a:extLst>
        </xdr:cNvPr>
        <xdr:cNvSpPr txBox="1"/>
      </xdr:nvSpPr>
      <xdr:spPr>
        <a:xfrm>
          <a:off x="152400" y="1223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17</xdr:row>
      <xdr:rowOff>0</xdr:rowOff>
    </xdr:from>
    <xdr:ext cx="184731" cy="264560"/>
    <xdr:sp macro="" textlink="">
      <xdr:nvSpPr>
        <xdr:cNvPr id="21" name="CaixaDeTexto 20">
          <a:extLst>
            <a:ext uri="{FF2B5EF4-FFF2-40B4-BE49-F238E27FC236}">
              <a16:creationId xmlns:a16="http://schemas.microsoft.com/office/drawing/2014/main" id="{00000000-0008-0000-0700-000015000000}"/>
            </a:ext>
          </a:extLst>
        </xdr:cNvPr>
        <xdr:cNvSpPr txBox="1"/>
      </xdr:nvSpPr>
      <xdr:spPr>
        <a:xfrm>
          <a:off x="0" y="1223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27" name="CaixaDeTexto 26">
          <a:extLst>
            <a:ext uri="{FF2B5EF4-FFF2-40B4-BE49-F238E27FC236}">
              <a16:creationId xmlns:a16="http://schemas.microsoft.com/office/drawing/2014/main" id="{00000000-0008-0000-0700-00001B000000}"/>
            </a:ext>
          </a:extLst>
        </xdr:cNvPr>
        <xdr:cNvSpPr txBox="1"/>
      </xdr:nvSpPr>
      <xdr:spPr>
        <a:xfrm>
          <a:off x="1524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28" name="CaixaDeTexto 27">
          <a:extLst>
            <a:ext uri="{FF2B5EF4-FFF2-40B4-BE49-F238E27FC236}">
              <a16:creationId xmlns:a16="http://schemas.microsoft.com/office/drawing/2014/main" id="{00000000-0008-0000-0700-00001C000000}"/>
            </a:ext>
          </a:extLst>
        </xdr:cNvPr>
        <xdr:cNvSpPr txBox="1"/>
      </xdr:nvSpPr>
      <xdr:spPr>
        <a:xfrm>
          <a:off x="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29" name="CaixaDeTexto 28">
          <a:extLst>
            <a:ext uri="{FF2B5EF4-FFF2-40B4-BE49-F238E27FC236}">
              <a16:creationId xmlns:a16="http://schemas.microsoft.com/office/drawing/2014/main" id="{00000000-0008-0000-0700-00001D000000}"/>
            </a:ext>
          </a:extLst>
        </xdr:cNvPr>
        <xdr:cNvSpPr txBox="1"/>
      </xdr:nvSpPr>
      <xdr:spPr>
        <a:xfrm>
          <a:off x="1524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30" name="CaixaDeTexto 29">
          <a:extLst>
            <a:ext uri="{FF2B5EF4-FFF2-40B4-BE49-F238E27FC236}">
              <a16:creationId xmlns:a16="http://schemas.microsoft.com/office/drawing/2014/main" id="{00000000-0008-0000-0700-00001E000000}"/>
            </a:ext>
          </a:extLst>
        </xdr:cNvPr>
        <xdr:cNvSpPr txBox="1"/>
      </xdr:nvSpPr>
      <xdr:spPr>
        <a:xfrm>
          <a:off x="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31" name="CaixaDeTexto 30">
          <a:extLst>
            <a:ext uri="{FF2B5EF4-FFF2-40B4-BE49-F238E27FC236}">
              <a16:creationId xmlns:a16="http://schemas.microsoft.com/office/drawing/2014/main" id="{00000000-0008-0000-0700-00001F000000}"/>
            </a:ext>
          </a:extLst>
        </xdr:cNvPr>
        <xdr:cNvSpPr txBox="1"/>
      </xdr:nvSpPr>
      <xdr:spPr>
        <a:xfrm>
          <a:off x="1524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32" name="CaixaDeTexto 31">
          <a:extLst>
            <a:ext uri="{FF2B5EF4-FFF2-40B4-BE49-F238E27FC236}">
              <a16:creationId xmlns:a16="http://schemas.microsoft.com/office/drawing/2014/main" id="{00000000-0008-0000-0700-000020000000}"/>
            </a:ext>
          </a:extLst>
        </xdr:cNvPr>
        <xdr:cNvSpPr txBox="1"/>
      </xdr:nvSpPr>
      <xdr:spPr>
        <a:xfrm>
          <a:off x="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35" name="CaixaDeTexto 34">
          <a:extLst>
            <a:ext uri="{FF2B5EF4-FFF2-40B4-BE49-F238E27FC236}">
              <a16:creationId xmlns:a16="http://schemas.microsoft.com/office/drawing/2014/main" id="{00000000-0008-0000-0700-000023000000}"/>
            </a:ext>
          </a:extLst>
        </xdr:cNvPr>
        <xdr:cNvSpPr txBox="1"/>
      </xdr:nvSpPr>
      <xdr:spPr>
        <a:xfrm>
          <a:off x="15240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36" name="CaixaDeTexto 35">
          <a:extLst>
            <a:ext uri="{FF2B5EF4-FFF2-40B4-BE49-F238E27FC236}">
              <a16:creationId xmlns:a16="http://schemas.microsoft.com/office/drawing/2014/main" id="{00000000-0008-0000-0700-000024000000}"/>
            </a:ext>
          </a:extLst>
        </xdr:cNvPr>
        <xdr:cNvSpPr txBox="1"/>
      </xdr:nvSpPr>
      <xdr:spPr>
        <a:xfrm>
          <a:off x="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37" name="CaixaDeTexto 36">
          <a:extLst>
            <a:ext uri="{FF2B5EF4-FFF2-40B4-BE49-F238E27FC236}">
              <a16:creationId xmlns:a16="http://schemas.microsoft.com/office/drawing/2014/main" id="{00000000-0008-0000-0700-000025000000}"/>
            </a:ext>
          </a:extLst>
        </xdr:cNvPr>
        <xdr:cNvSpPr txBox="1"/>
      </xdr:nvSpPr>
      <xdr:spPr>
        <a:xfrm>
          <a:off x="15240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38" name="CaixaDeTexto 37">
          <a:extLst>
            <a:ext uri="{FF2B5EF4-FFF2-40B4-BE49-F238E27FC236}">
              <a16:creationId xmlns:a16="http://schemas.microsoft.com/office/drawing/2014/main" id="{00000000-0008-0000-0700-000026000000}"/>
            </a:ext>
          </a:extLst>
        </xdr:cNvPr>
        <xdr:cNvSpPr txBox="1"/>
      </xdr:nvSpPr>
      <xdr:spPr>
        <a:xfrm>
          <a:off x="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39" name="CaixaDeTexto 38">
          <a:extLst>
            <a:ext uri="{FF2B5EF4-FFF2-40B4-BE49-F238E27FC236}">
              <a16:creationId xmlns:a16="http://schemas.microsoft.com/office/drawing/2014/main" id="{00000000-0008-0000-0700-000027000000}"/>
            </a:ext>
          </a:extLst>
        </xdr:cNvPr>
        <xdr:cNvSpPr txBox="1"/>
      </xdr:nvSpPr>
      <xdr:spPr>
        <a:xfrm>
          <a:off x="15240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40" name="CaixaDeTexto 39">
          <a:extLst>
            <a:ext uri="{FF2B5EF4-FFF2-40B4-BE49-F238E27FC236}">
              <a16:creationId xmlns:a16="http://schemas.microsoft.com/office/drawing/2014/main" id="{00000000-0008-0000-0700-000028000000}"/>
            </a:ext>
          </a:extLst>
        </xdr:cNvPr>
        <xdr:cNvSpPr txBox="1"/>
      </xdr:nvSpPr>
      <xdr:spPr>
        <a:xfrm>
          <a:off x="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33" name="CaixaDeTexto 32">
          <a:extLst>
            <a:ext uri="{FF2B5EF4-FFF2-40B4-BE49-F238E27FC236}">
              <a16:creationId xmlns:a16="http://schemas.microsoft.com/office/drawing/2014/main" id="{00000000-0008-0000-0700-000021000000}"/>
            </a:ext>
          </a:extLst>
        </xdr:cNvPr>
        <xdr:cNvSpPr txBox="1"/>
      </xdr:nvSpPr>
      <xdr:spPr>
        <a:xfrm>
          <a:off x="152400" y="723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34" name="CaixaDeTexto 33">
          <a:extLst>
            <a:ext uri="{FF2B5EF4-FFF2-40B4-BE49-F238E27FC236}">
              <a16:creationId xmlns:a16="http://schemas.microsoft.com/office/drawing/2014/main" id="{00000000-0008-0000-0700-000022000000}"/>
            </a:ext>
          </a:extLst>
        </xdr:cNvPr>
        <xdr:cNvSpPr txBox="1"/>
      </xdr:nvSpPr>
      <xdr:spPr>
        <a:xfrm>
          <a:off x="0" y="723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41" name="CaixaDeTexto 40">
          <a:extLst>
            <a:ext uri="{FF2B5EF4-FFF2-40B4-BE49-F238E27FC236}">
              <a16:creationId xmlns:a16="http://schemas.microsoft.com/office/drawing/2014/main" id="{00000000-0008-0000-0700-000029000000}"/>
            </a:ext>
          </a:extLst>
        </xdr:cNvPr>
        <xdr:cNvSpPr txBox="1"/>
      </xdr:nvSpPr>
      <xdr:spPr>
        <a:xfrm>
          <a:off x="152400" y="723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42" name="CaixaDeTexto 41">
          <a:extLst>
            <a:ext uri="{FF2B5EF4-FFF2-40B4-BE49-F238E27FC236}">
              <a16:creationId xmlns:a16="http://schemas.microsoft.com/office/drawing/2014/main" id="{00000000-0008-0000-0700-00002A000000}"/>
            </a:ext>
          </a:extLst>
        </xdr:cNvPr>
        <xdr:cNvSpPr txBox="1"/>
      </xdr:nvSpPr>
      <xdr:spPr>
        <a:xfrm>
          <a:off x="0" y="723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43" name="CaixaDeTexto 42">
          <a:extLst>
            <a:ext uri="{FF2B5EF4-FFF2-40B4-BE49-F238E27FC236}">
              <a16:creationId xmlns:a16="http://schemas.microsoft.com/office/drawing/2014/main" id="{00000000-0008-0000-0700-00002B000000}"/>
            </a:ext>
          </a:extLst>
        </xdr:cNvPr>
        <xdr:cNvSpPr txBox="1"/>
      </xdr:nvSpPr>
      <xdr:spPr>
        <a:xfrm>
          <a:off x="152400" y="723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44" name="CaixaDeTexto 43">
          <a:extLst>
            <a:ext uri="{FF2B5EF4-FFF2-40B4-BE49-F238E27FC236}">
              <a16:creationId xmlns:a16="http://schemas.microsoft.com/office/drawing/2014/main" id="{00000000-0008-0000-0700-00002C000000}"/>
            </a:ext>
          </a:extLst>
        </xdr:cNvPr>
        <xdr:cNvSpPr txBox="1"/>
      </xdr:nvSpPr>
      <xdr:spPr>
        <a:xfrm>
          <a:off x="0" y="723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47" name="CaixaDeTexto 46">
          <a:extLst>
            <a:ext uri="{FF2B5EF4-FFF2-40B4-BE49-F238E27FC236}">
              <a16:creationId xmlns:a16="http://schemas.microsoft.com/office/drawing/2014/main" id="{00000000-0008-0000-0700-00002F000000}"/>
            </a:ext>
          </a:extLst>
        </xdr:cNvPr>
        <xdr:cNvSpPr txBox="1"/>
      </xdr:nvSpPr>
      <xdr:spPr>
        <a:xfrm>
          <a:off x="152400" y="1069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48" name="CaixaDeTexto 47">
          <a:extLst>
            <a:ext uri="{FF2B5EF4-FFF2-40B4-BE49-F238E27FC236}">
              <a16:creationId xmlns:a16="http://schemas.microsoft.com/office/drawing/2014/main" id="{00000000-0008-0000-0700-000030000000}"/>
            </a:ext>
          </a:extLst>
        </xdr:cNvPr>
        <xdr:cNvSpPr txBox="1"/>
      </xdr:nvSpPr>
      <xdr:spPr>
        <a:xfrm>
          <a:off x="0" y="1069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49" name="CaixaDeTexto 48">
          <a:extLst>
            <a:ext uri="{FF2B5EF4-FFF2-40B4-BE49-F238E27FC236}">
              <a16:creationId xmlns:a16="http://schemas.microsoft.com/office/drawing/2014/main" id="{00000000-0008-0000-0700-000031000000}"/>
            </a:ext>
          </a:extLst>
        </xdr:cNvPr>
        <xdr:cNvSpPr txBox="1"/>
      </xdr:nvSpPr>
      <xdr:spPr>
        <a:xfrm>
          <a:off x="152400" y="1069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50" name="CaixaDeTexto 49">
          <a:extLst>
            <a:ext uri="{FF2B5EF4-FFF2-40B4-BE49-F238E27FC236}">
              <a16:creationId xmlns:a16="http://schemas.microsoft.com/office/drawing/2014/main" id="{00000000-0008-0000-0700-000032000000}"/>
            </a:ext>
          </a:extLst>
        </xdr:cNvPr>
        <xdr:cNvSpPr txBox="1"/>
      </xdr:nvSpPr>
      <xdr:spPr>
        <a:xfrm>
          <a:off x="0" y="1069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51" name="CaixaDeTexto 50">
          <a:extLst>
            <a:ext uri="{FF2B5EF4-FFF2-40B4-BE49-F238E27FC236}">
              <a16:creationId xmlns:a16="http://schemas.microsoft.com/office/drawing/2014/main" id="{00000000-0008-0000-0700-000033000000}"/>
            </a:ext>
          </a:extLst>
        </xdr:cNvPr>
        <xdr:cNvSpPr txBox="1"/>
      </xdr:nvSpPr>
      <xdr:spPr>
        <a:xfrm>
          <a:off x="152400" y="1069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52" name="CaixaDeTexto 51">
          <a:extLst>
            <a:ext uri="{FF2B5EF4-FFF2-40B4-BE49-F238E27FC236}">
              <a16:creationId xmlns:a16="http://schemas.microsoft.com/office/drawing/2014/main" id="{00000000-0008-0000-0700-000034000000}"/>
            </a:ext>
          </a:extLst>
        </xdr:cNvPr>
        <xdr:cNvSpPr txBox="1"/>
      </xdr:nvSpPr>
      <xdr:spPr>
        <a:xfrm>
          <a:off x="0" y="1069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58" name="CaixaDeTexto 57">
          <a:extLst>
            <a:ext uri="{FF2B5EF4-FFF2-40B4-BE49-F238E27FC236}">
              <a16:creationId xmlns:a16="http://schemas.microsoft.com/office/drawing/2014/main" id="{00000000-0008-0000-0700-00003A000000}"/>
            </a:ext>
          </a:extLst>
        </xdr:cNvPr>
        <xdr:cNvSpPr txBox="1"/>
      </xdr:nvSpPr>
      <xdr:spPr>
        <a:xfrm>
          <a:off x="152400" y="723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59" name="CaixaDeTexto 58">
          <a:extLst>
            <a:ext uri="{FF2B5EF4-FFF2-40B4-BE49-F238E27FC236}">
              <a16:creationId xmlns:a16="http://schemas.microsoft.com/office/drawing/2014/main" id="{00000000-0008-0000-0700-00003B000000}"/>
            </a:ext>
          </a:extLst>
        </xdr:cNvPr>
        <xdr:cNvSpPr txBox="1"/>
      </xdr:nvSpPr>
      <xdr:spPr>
        <a:xfrm>
          <a:off x="0" y="723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60" name="CaixaDeTexto 59">
          <a:extLst>
            <a:ext uri="{FF2B5EF4-FFF2-40B4-BE49-F238E27FC236}">
              <a16:creationId xmlns:a16="http://schemas.microsoft.com/office/drawing/2014/main" id="{00000000-0008-0000-0700-00003C000000}"/>
            </a:ext>
          </a:extLst>
        </xdr:cNvPr>
        <xdr:cNvSpPr txBox="1"/>
      </xdr:nvSpPr>
      <xdr:spPr>
        <a:xfrm>
          <a:off x="152400" y="723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61" name="CaixaDeTexto 60">
          <a:extLst>
            <a:ext uri="{FF2B5EF4-FFF2-40B4-BE49-F238E27FC236}">
              <a16:creationId xmlns:a16="http://schemas.microsoft.com/office/drawing/2014/main" id="{00000000-0008-0000-0700-00003D000000}"/>
            </a:ext>
          </a:extLst>
        </xdr:cNvPr>
        <xdr:cNvSpPr txBox="1"/>
      </xdr:nvSpPr>
      <xdr:spPr>
        <a:xfrm>
          <a:off x="0" y="723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62" name="CaixaDeTexto 61">
          <a:extLst>
            <a:ext uri="{FF2B5EF4-FFF2-40B4-BE49-F238E27FC236}">
              <a16:creationId xmlns:a16="http://schemas.microsoft.com/office/drawing/2014/main" id="{00000000-0008-0000-0700-00003E000000}"/>
            </a:ext>
          </a:extLst>
        </xdr:cNvPr>
        <xdr:cNvSpPr txBox="1"/>
      </xdr:nvSpPr>
      <xdr:spPr>
        <a:xfrm>
          <a:off x="152400" y="723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63" name="CaixaDeTexto 62">
          <a:extLst>
            <a:ext uri="{FF2B5EF4-FFF2-40B4-BE49-F238E27FC236}">
              <a16:creationId xmlns:a16="http://schemas.microsoft.com/office/drawing/2014/main" id="{00000000-0008-0000-0700-00003F000000}"/>
            </a:ext>
          </a:extLst>
        </xdr:cNvPr>
        <xdr:cNvSpPr txBox="1"/>
      </xdr:nvSpPr>
      <xdr:spPr>
        <a:xfrm>
          <a:off x="0" y="723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65" name="CaixaDeTexto 64">
          <a:extLst>
            <a:ext uri="{FF2B5EF4-FFF2-40B4-BE49-F238E27FC236}">
              <a16:creationId xmlns:a16="http://schemas.microsoft.com/office/drawing/2014/main" id="{00000000-0008-0000-0700-000041000000}"/>
            </a:ext>
          </a:extLst>
        </xdr:cNvPr>
        <xdr:cNvSpPr txBox="1"/>
      </xdr:nvSpPr>
      <xdr:spPr>
        <a:xfrm>
          <a:off x="152400" y="1069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66" name="CaixaDeTexto 65">
          <a:extLst>
            <a:ext uri="{FF2B5EF4-FFF2-40B4-BE49-F238E27FC236}">
              <a16:creationId xmlns:a16="http://schemas.microsoft.com/office/drawing/2014/main" id="{00000000-0008-0000-0700-000042000000}"/>
            </a:ext>
          </a:extLst>
        </xdr:cNvPr>
        <xdr:cNvSpPr txBox="1"/>
      </xdr:nvSpPr>
      <xdr:spPr>
        <a:xfrm>
          <a:off x="0" y="1069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67" name="CaixaDeTexto 66">
          <a:extLst>
            <a:ext uri="{FF2B5EF4-FFF2-40B4-BE49-F238E27FC236}">
              <a16:creationId xmlns:a16="http://schemas.microsoft.com/office/drawing/2014/main" id="{00000000-0008-0000-0700-000043000000}"/>
            </a:ext>
          </a:extLst>
        </xdr:cNvPr>
        <xdr:cNvSpPr txBox="1"/>
      </xdr:nvSpPr>
      <xdr:spPr>
        <a:xfrm>
          <a:off x="152400" y="1069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68" name="CaixaDeTexto 67">
          <a:extLst>
            <a:ext uri="{FF2B5EF4-FFF2-40B4-BE49-F238E27FC236}">
              <a16:creationId xmlns:a16="http://schemas.microsoft.com/office/drawing/2014/main" id="{00000000-0008-0000-0700-000044000000}"/>
            </a:ext>
          </a:extLst>
        </xdr:cNvPr>
        <xdr:cNvSpPr txBox="1"/>
      </xdr:nvSpPr>
      <xdr:spPr>
        <a:xfrm>
          <a:off x="0" y="1069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69" name="CaixaDeTexto 68">
          <a:extLst>
            <a:ext uri="{FF2B5EF4-FFF2-40B4-BE49-F238E27FC236}">
              <a16:creationId xmlns:a16="http://schemas.microsoft.com/office/drawing/2014/main" id="{00000000-0008-0000-0700-000045000000}"/>
            </a:ext>
          </a:extLst>
        </xdr:cNvPr>
        <xdr:cNvSpPr txBox="1"/>
      </xdr:nvSpPr>
      <xdr:spPr>
        <a:xfrm>
          <a:off x="152400" y="1069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70" name="CaixaDeTexto 69">
          <a:extLst>
            <a:ext uri="{FF2B5EF4-FFF2-40B4-BE49-F238E27FC236}">
              <a16:creationId xmlns:a16="http://schemas.microsoft.com/office/drawing/2014/main" id="{00000000-0008-0000-0700-000046000000}"/>
            </a:ext>
          </a:extLst>
        </xdr:cNvPr>
        <xdr:cNvSpPr txBox="1"/>
      </xdr:nvSpPr>
      <xdr:spPr>
        <a:xfrm>
          <a:off x="0" y="1069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56" name="CaixaDeTexto 55">
          <a:extLst>
            <a:ext uri="{FF2B5EF4-FFF2-40B4-BE49-F238E27FC236}">
              <a16:creationId xmlns:a16="http://schemas.microsoft.com/office/drawing/2014/main" id="{00000000-0008-0000-0700-000038000000}"/>
            </a:ext>
          </a:extLst>
        </xdr:cNvPr>
        <xdr:cNvSpPr txBox="1"/>
      </xdr:nvSpPr>
      <xdr:spPr>
        <a:xfrm>
          <a:off x="1524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57" name="CaixaDeTexto 56">
          <a:extLst>
            <a:ext uri="{FF2B5EF4-FFF2-40B4-BE49-F238E27FC236}">
              <a16:creationId xmlns:a16="http://schemas.microsoft.com/office/drawing/2014/main" id="{00000000-0008-0000-0700-000039000000}"/>
            </a:ext>
          </a:extLst>
        </xdr:cNvPr>
        <xdr:cNvSpPr txBox="1"/>
      </xdr:nvSpPr>
      <xdr:spPr>
        <a:xfrm>
          <a:off x="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64" name="CaixaDeTexto 63">
          <a:extLst>
            <a:ext uri="{FF2B5EF4-FFF2-40B4-BE49-F238E27FC236}">
              <a16:creationId xmlns:a16="http://schemas.microsoft.com/office/drawing/2014/main" id="{00000000-0008-0000-0700-000040000000}"/>
            </a:ext>
          </a:extLst>
        </xdr:cNvPr>
        <xdr:cNvSpPr txBox="1"/>
      </xdr:nvSpPr>
      <xdr:spPr>
        <a:xfrm>
          <a:off x="1524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71" name="CaixaDeTexto 70">
          <a:extLst>
            <a:ext uri="{FF2B5EF4-FFF2-40B4-BE49-F238E27FC236}">
              <a16:creationId xmlns:a16="http://schemas.microsoft.com/office/drawing/2014/main" id="{00000000-0008-0000-0700-000047000000}"/>
            </a:ext>
          </a:extLst>
        </xdr:cNvPr>
        <xdr:cNvSpPr txBox="1"/>
      </xdr:nvSpPr>
      <xdr:spPr>
        <a:xfrm>
          <a:off x="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72" name="CaixaDeTexto 71">
          <a:extLst>
            <a:ext uri="{FF2B5EF4-FFF2-40B4-BE49-F238E27FC236}">
              <a16:creationId xmlns:a16="http://schemas.microsoft.com/office/drawing/2014/main" id="{00000000-0008-0000-0700-000048000000}"/>
            </a:ext>
          </a:extLst>
        </xdr:cNvPr>
        <xdr:cNvSpPr txBox="1"/>
      </xdr:nvSpPr>
      <xdr:spPr>
        <a:xfrm>
          <a:off x="1524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73" name="CaixaDeTexto 72">
          <a:extLst>
            <a:ext uri="{FF2B5EF4-FFF2-40B4-BE49-F238E27FC236}">
              <a16:creationId xmlns:a16="http://schemas.microsoft.com/office/drawing/2014/main" id="{00000000-0008-0000-0700-000049000000}"/>
            </a:ext>
          </a:extLst>
        </xdr:cNvPr>
        <xdr:cNvSpPr txBox="1"/>
      </xdr:nvSpPr>
      <xdr:spPr>
        <a:xfrm>
          <a:off x="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74" name="CaixaDeTexto 73">
          <a:extLst>
            <a:ext uri="{FF2B5EF4-FFF2-40B4-BE49-F238E27FC236}">
              <a16:creationId xmlns:a16="http://schemas.microsoft.com/office/drawing/2014/main" id="{00000000-0008-0000-0700-00004A000000}"/>
            </a:ext>
          </a:extLst>
        </xdr:cNvPr>
        <xdr:cNvSpPr txBox="1"/>
      </xdr:nvSpPr>
      <xdr:spPr>
        <a:xfrm>
          <a:off x="15240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75" name="CaixaDeTexto 74">
          <a:extLst>
            <a:ext uri="{FF2B5EF4-FFF2-40B4-BE49-F238E27FC236}">
              <a16:creationId xmlns:a16="http://schemas.microsoft.com/office/drawing/2014/main" id="{00000000-0008-0000-0700-00004B000000}"/>
            </a:ext>
          </a:extLst>
        </xdr:cNvPr>
        <xdr:cNvSpPr txBox="1"/>
      </xdr:nvSpPr>
      <xdr:spPr>
        <a:xfrm>
          <a:off x="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76" name="CaixaDeTexto 75">
          <a:extLst>
            <a:ext uri="{FF2B5EF4-FFF2-40B4-BE49-F238E27FC236}">
              <a16:creationId xmlns:a16="http://schemas.microsoft.com/office/drawing/2014/main" id="{00000000-0008-0000-0700-00004C000000}"/>
            </a:ext>
          </a:extLst>
        </xdr:cNvPr>
        <xdr:cNvSpPr txBox="1"/>
      </xdr:nvSpPr>
      <xdr:spPr>
        <a:xfrm>
          <a:off x="15240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77" name="CaixaDeTexto 76">
          <a:extLst>
            <a:ext uri="{FF2B5EF4-FFF2-40B4-BE49-F238E27FC236}">
              <a16:creationId xmlns:a16="http://schemas.microsoft.com/office/drawing/2014/main" id="{00000000-0008-0000-0700-00004D000000}"/>
            </a:ext>
          </a:extLst>
        </xdr:cNvPr>
        <xdr:cNvSpPr txBox="1"/>
      </xdr:nvSpPr>
      <xdr:spPr>
        <a:xfrm>
          <a:off x="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78" name="CaixaDeTexto 77">
          <a:extLst>
            <a:ext uri="{FF2B5EF4-FFF2-40B4-BE49-F238E27FC236}">
              <a16:creationId xmlns:a16="http://schemas.microsoft.com/office/drawing/2014/main" id="{00000000-0008-0000-0700-00004E000000}"/>
            </a:ext>
          </a:extLst>
        </xdr:cNvPr>
        <xdr:cNvSpPr txBox="1"/>
      </xdr:nvSpPr>
      <xdr:spPr>
        <a:xfrm>
          <a:off x="15240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79" name="CaixaDeTexto 78">
          <a:extLst>
            <a:ext uri="{FF2B5EF4-FFF2-40B4-BE49-F238E27FC236}">
              <a16:creationId xmlns:a16="http://schemas.microsoft.com/office/drawing/2014/main" id="{00000000-0008-0000-0700-00004F000000}"/>
            </a:ext>
          </a:extLst>
        </xdr:cNvPr>
        <xdr:cNvSpPr txBox="1"/>
      </xdr:nvSpPr>
      <xdr:spPr>
        <a:xfrm>
          <a:off x="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80" name="CaixaDeTexto 79">
          <a:extLst>
            <a:ext uri="{FF2B5EF4-FFF2-40B4-BE49-F238E27FC236}">
              <a16:creationId xmlns:a16="http://schemas.microsoft.com/office/drawing/2014/main" id="{00000000-0008-0000-0700-000050000000}"/>
            </a:ext>
          </a:extLst>
        </xdr:cNvPr>
        <xdr:cNvSpPr txBox="1"/>
      </xdr:nvSpPr>
      <xdr:spPr>
        <a:xfrm>
          <a:off x="1524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81" name="CaixaDeTexto 80">
          <a:extLst>
            <a:ext uri="{FF2B5EF4-FFF2-40B4-BE49-F238E27FC236}">
              <a16:creationId xmlns:a16="http://schemas.microsoft.com/office/drawing/2014/main" id="{00000000-0008-0000-0700-000051000000}"/>
            </a:ext>
          </a:extLst>
        </xdr:cNvPr>
        <xdr:cNvSpPr txBox="1"/>
      </xdr:nvSpPr>
      <xdr:spPr>
        <a:xfrm>
          <a:off x="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82" name="CaixaDeTexto 81">
          <a:extLst>
            <a:ext uri="{FF2B5EF4-FFF2-40B4-BE49-F238E27FC236}">
              <a16:creationId xmlns:a16="http://schemas.microsoft.com/office/drawing/2014/main" id="{00000000-0008-0000-0700-000052000000}"/>
            </a:ext>
          </a:extLst>
        </xdr:cNvPr>
        <xdr:cNvSpPr txBox="1"/>
      </xdr:nvSpPr>
      <xdr:spPr>
        <a:xfrm>
          <a:off x="1524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83" name="CaixaDeTexto 82">
          <a:extLst>
            <a:ext uri="{FF2B5EF4-FFF2-40B4-BE49-F238E27FC236}">
              <a16:creationId xmlns:a16="http://schemas.microsoft.com/office/drawing/2014/main" id="{00000000-0008-0000-0700-000053000000}"/>
            </a:ext>
          </a:extLst>
        </xdr:cNvPr>
        <xdr:cNvSpPr txBox="1"/>
      </xdr:nvSpPr>
      <xdr:spPr>
        <a:xfrm>
          <a:off x="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84" name="CaixaDeTexto 83">
          <a:extLst>
            <a:ext uri="{FF2B5EF4-FFF2-40B4-BE49-F238E27FC236}">
              <a16:creationId xmlns:a16="http://schemas.microsoft.com/office/drawing/2014/main" id="{00000000-0008-0000-0700-000054000000}"/>
            </a:ext>
          </a:extLst>
        </xdr:cNvPr>
        <xdr:cNvSpPr txBox="1"/>
      </xdr:nvSpPr>
      <xdr:spPr>
        <a:xfrm>
          <a:off x="1524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85" name="CaixaDeTexto 84">
          <a:extLst>
            <a:ext uri="{FF2B5EF4-FFF2-40B4-BE49-F238E27FC236}">
              <a16:creationId xmlns:a16="http://schemas.microsoft.com/office/drawing/2014/main" id="{00000000-0008-0000-0700-000055000000}"/>
            </a:ext>
          </a:extLst>
        </xdr:cNvPr>
        <xdr:cNvSpPr txBox="1"/>
      </xdr:nvSpPr>
      <xdr:spPr>
        <a:xfrm>
          <a:off x="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86" name="CaixaDeTexto 85">
          <a:extLst>
            <a:ext uri="{FF2B5EF4-FFF2-40B4-BE49-F238E27FC236}">
              <a16:creationId xmlns:a16="http://schemas.microsoft.com/office/drawing/2014/main" id="{00000000-0008-0000-0700-000056000000}"/>
            </a:ext>
          </a:extLst>
        </xdr:cNvPr>
        <xdr:cNvSpPr txBox="1"/>
      </xdr:nvSpPr>
      <xdr:spPr>
        <a:xfrm>
          <a:off x="15240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87" name="CaixaDeTexto 86">
          <a:extLst>
            <a:ext uri="{FF2B5EF4-FFF2-40B4-BE49-F238E27FC236}">
              <a16:creationId xmlns:a16="http://schemas.microsoft.com/office/drawing/2014/main" id="{00000000-0008-0000-0700-000057000000}"/>
            </a:ext>
          </a:extLst>
        </xdr:cNvPr>
        <xdr:cNvSpPr txBox="1"/>
      </xdr:nvSpPr>
      <xdr:spPr>
        <a:xfrm>
          <a:off x="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88" name="CaixaDeTexto 87">
          <a:extLst>
            <a:ext uri="{FF2B5EF4-FFF2-40B4-BE49-F238E27FC236}">
              <a16:creationId xmlns:a16="http://schemas.microsoft.com/office/drawing/2014/main" id="{00000000-0008-0000-0700-000058000000}"/>
            </a:ext>
          </a:extLst>
        </xdr:cNvPr>
        <xdr:cNvSpPr txBox="1"/>
      </xdr:nvSpPr>
      <xdr:spPr>
        <a:xfrm>
          <a:off x="15240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89" name="CaixaDeTexto 88">
          <a:extLst>
            <a:ext uri="{FF2B5EF4-FFF2-40B4-BE49-F238E27FC236}">
              <a16:creationId xmlns:a16="http://schemas.microsoft.com/office/drawing/2014/main" id="{00000000-0008-0000-0700-000059000000}"/>
            </a:ext>
          </a:extLst>
        </xdr:cNvPr>
        <xdr:cNvSpPr txBox="1"/>
      </xdr:nvSpPr>
      <xdr:spPr>
        <a:xfrm>
          <a:off x="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90" name="CaixaDeTexto 89">
          <a:extLst>
            <a:ext uri="{FF2B5EF4-FFF2-40B4-BE49-F238E27FC236}">
              <a16:creationId xmlns:a16="http://schemas.microsoft.com/office/drawing/2014/main" id="{00000000-0008-0000-0700-00005A000000}"/>
            </a:ext>
          </a:extLst>
        </xdr:cNvPr>
        <xdr:cNvSpPr txBox="1"/>
      </xdr:nvSpPr>
      <xdr:spPr>
        <a:xfrm>
          <a:off x="15240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91" name="CaixaDeTexto 90">
          <a:extLst>
            <a:ext uri="{FF2B5EF4-FFF2-40B4-BE49-F238E27FC236}">
              <a16:creationId xmlns:a16="http://schemas.microsoft.com/office/drawing/2014/main" id="{00000000-0008-0000-0700-00005B000000}"/>
            </a:ext>
          </a:extLst>
        </xdr:cNvPr>
        <xdr:cNvSpPr txBox="1"/>
      </xdr:nvSpPr>
      <xdr:spPr>
        <a:xfrm>
          <a:off x="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92" name="CaixaDeTexto 91">
          <a:extLst>
            <a:ext uri="{FF2B5EF4-FFF2-40B4-BE49-F238E27FC236}">
              <a16:creationId xmlns:a16="http://schemas.microsoft.com/office/drawing/2014/main" id="{00000000-0008-0000-0700-00005C000000}"/>
            </a:ext>
          </a:extLst>
        </xdr:cNvPr>
        <xdr:cNvSpPr txBox="1"/>
      </xdr:nvSpPr>
      <xdr:spPr>
        <a:xfrm>
          <a:off x="1524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93" name="CaixaDeTexto 92">
          <a:extLst>
            <a:ext uri="{FF2B5EF4-FFF2-40B4-BE49-F238E27FC236}">
              <a16:creationId xmlns:a16="http://schemas.microsoft.com/office/drawing/2014/main" id="{00000000-0008-0000-0700-00005D000000}"/>
            </a:ext>
          </a:extLst>
        </xdr:cNvPr>
        <xdr:cNvSpPr txBox="1"/>
      </xdr:nvSpPr>
      <xdr:spPr>
        <a:xfrm>
          <a:off x="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94" name="CaixaDeTexto 93">
          <a:extLst>
            <a:ext uri="{FF2B5EF4-FFF2-40B4-BE49-F238E27FC236}">
              <a16:creationId xmlns:a16="http://schemas.microsoft.com/office/drawing/2014/main" id="{00000000-0008-0000-0700-00005E000000}"/>
            </a:ext>
          </a:extLst>
        </xdr:cNvPr>
        <xdr:cNvSpPr txBox="1"/>
      </xdr:nvSpPr>
      <xdr:spPr>
        <a:xfrm>
          <a:off x="1524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95" name="CaixaDeTexto 94">
          <a:extLst>
            <a:ext uri="{FF2B5EF4-FFF2-40B4-BE49-F238E27FC236}">
              <a16:creationId xmlns:a16="http://schemas.microsoft.com/office/drawing/2014/main" id="{00000000-0008-0000-0700-00005F000000}"/>
            </a:ext>
          </a:extLst>
        </xdr:cNvPr>
        <xdr:cNvSpPr txBox="1"/>
      </xdr:nvSpPr>
      <xdr:spPr>
        <a:xfrm>
          <a:off x="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96" name="CaixaDeTexto 95">
          <a:extLst>
            <a:ext uri="{FF2B5EF4-FFF2-40B4-BE49-F238E27FC236}">
              <a16:creationId xmlns:a16="http://schemas.microsoft.com/office/drawing/2014/main" id="{00000000-0008-0000-0700-000060000000}"/>
            </a:ext>
          </a:extLst>
        </xdr:cNvPr>
        <xdr:cNvSpPr txBox="1"/>
      </xdr:nvSpPr>
      <xdr:spPr>
        <a:xfrm>
          <a:off x="1524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97" name="CaixaDeTexto 96">
          <a:extLst>
            <a:ext uri="{FF2B5EF4-FFF2-40B4-BE49-F238E27FC236}">
              <a16:creationId xmlns:a16="http://schemas.microsoft.com/office/drawing/2014/main" id="{00000000-0008-0000-0700-000061000000}"/>
            </a:ext>
          </a:extLst>
        </xdr:cNvPr>
        <xdr:cNvSpPr txBox="1"/>
      </xdr:nvSpPr>
      <xdr:spPr>
        <a:xfrm>
          <a:off x="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98" name="CaixaDeTexto 97">
          <a:extLst>
            <a:ext uri="{FF2B5EF4-FFF2-40B4-BE49-F238E27FC236}">
              <a16:creationId xmlns:a16="http://schemas.microsoft.com/office/drawing/2014/main" id="{00000000-0008-0000-0700-000062000000}"/>
            </a:ext>
          </a:extLst>
        </xdr:cNvPr>
        <xdr:cNvSpPr txBox="1"/>
      </xdr:nvSpPr>
      <xdr:spPr>
        <a:xfrm>
          <a:off x="15240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99" name="CaixaDeTexto 98">
          <a:extLst>
            <a:ext uri="{FF2B5EF4-FFF2-40B4-BE49-F238E27FC236}">
              <a16:creationId xmlns:a16="http://schemas.microsoft.com/office/drawing/2014/main" id="{00000000-0008-0000-0700-000063000000}"/>
            </a:ext>
          </a:extLst>
        </xdr:cNvPr>
        <xdr:cNvSpPr txBox="1"/>
      </xdr:nvSpPr>
      <xdr:spPr>
        <a:xfrm>
          <a:off x="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100" name="CaixaDeTexto 99">
          <a:extLst>
            <a:ext uri="{FF2B5EF4-FFF2-40B4-BE49-F238E27FC236}">
              <a16:creationId xmlns:a16="http://schemas.microsoft.com/office/drawing/2014/main" id="{00000000-0008-0000-0700-000064000000}"/>
            </a:ext>
          </a:extLst>
        </xdr:cNvPr>
        <xdr:cNvSpPr txBox="1"/>
      </xdr:nvSpPr>
      <xdr:spPr>
        <a:xfrm>
          <a:off x="15240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101" name="CaixaDeTexto 100">
          <a:extLst>
            <a:ext uri="{FF2B5EF4-FFF2-40B4-BE49-F238E27FC236}">
              <a16:creationId xmlns:a16="http://schemas.microsoft.com/office/drawing/2014/main" id="{00000000-0008-0000-0700-000065000000}"/>
            </a:ext>
          </a:extLst>
        </xdr:cNvPr>
        <xdr:cNvSpPr txBox="1"/>
      </xdr:nvSpPr>
      <xdr:spPr>
        <a:xfrm>
          <a:off x="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102" name="CaixaDeTexto 101">
          <a:extLst>
            <a:ext uri="{FF2B5EF4-FFF2-40B4-BE49-F238E27FC236}">
              <a16:creationId xmlns:a16="http://schemas.microsoft.com/office/drawing/2014/main" id="{00000000-0008-0000-0700-000066000000}"/>
            </a:ext>
          </a:extLst>
        </xdr:cNvPr>
        <xdr:cNvSpPr txBox="1"/>
      </xdr:nvSpPr>
      <xdr:spPr>
        <a:xfrm>
          <a:off x="15240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103" name="CaixaDeTexto 102">
          <a:extLst>
            <a:ext uri="{FF2B5EF4-FFF2-40B4-BE49-F238E27FC236}">
              <a16:creationId xmlns:a16="http://schemas.microsoft.com/office/drawing/2014/main" id="{00000000-0008-0000-0700-000067000000}"/>
            </a:ext>
          </a:extLst>
        </xdr:cNvPr>
        <xdr:cNvSpPr txBox="1"/>
      </xdr:nvSpPr>
      <xdr:spPr>
        <a:xfrm>
          <a:off x="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104" name="CaixaDeTexto 103">
          <a:extLst>
            <a:ext uri="{FF2B5EF4-FFF2-40B4-BE49-F238E27FC236}">
              <a16:creationId xmlns:a16="http://schemas.microsoft.com/office/drawing/2014/main" id="{00000000-0008-0000-0700-000068000000}"/>
            </a:ext>
          </a:extLst>
        </xdr:cNvPr>
        <xdr:cNvSpPr txBox="1"/>
      </xdr:nvSpPr>
      <xdr:spPr>
        <a:xfrm>
          <a:off x="1524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105" name="CaixaDeTexto 104">
          <a:extLst>
            <a:ext uri="{FF2B5EF4-FFF2-40B4-BE49-F238E27FC236}">
              <a16:creationId xmlns:a16="http://schemas.microsoft.com/office/drawing/2014/main" id="{00000000-0008-0000-0700-000069000000}"/>
            </a:ext>
          </a:extLst>
        </xdr:cNvPr>
        <xdr:cNvSpPr txBox="1"/>
      </xdr:nvSpPr>
      <xdr:spPr>
        <a:xfrm>
          <a:off x="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106" name="CaixaDeTexto 105">
          <a:extLst>
            <a:ext uri="{FF2B5EF4-FFF2-40B4-BE49-F238E27FC236}">
              <a16:creationId xmlns:a16="http://schemas.microsoft.com/office/drawing/2014/main" id="{00000000-0008-0000-0700-00006A000000}"/>
            </a:ext>
          </a:extLst>
        </xdr:cNvPr>
        <xdr:cNvSpPr txBox="1"/>
      </xdr:nvSpPr>
      <xdr:spPr>
        <a:xfrm>
          <a:off x="1524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107" name="CaixaDeTexto 106">
          <a:extLst>
            <a:ext uri="{FF2B5EF4-FFF2-40B4-BE49-F238E27FC236}">
              <a16:creationId xmlns:a16="http://schemas.microsoft.com/office/drawing/2014/main" id="{00000000-0008-0000-0700-00006B000000}"/>
            </a:ext>
          </a:extLst>
        </xdr:cNvPr>
        <xdr:cNvSpPr txBox="1"/>
      </xdr:nvSpPr>
      <xdr:spPr>
        <a:xfrm>
          <a:off x="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12</xdr:row>
      <xdr:rowOff>0</xdr:rowOff>
    </xdr:from>
    <xdr:ext cx="184731" cy="264560"/>
    <xdr:sp macro="" textlink="">
      <xdr:nvSpPr>
        <xdr:cNvPr id="108" name="CaixaDeTexto 107">
          <a:extLst>
            <a:ext uri="{FF2B5EF4-FFF2-40B4-BE49-F238E27FC236}">
              <a16:creationId xmlns:a16="http://schemas.microsoft.com/office/drawing/2014/main" id="{00000000-0008-0000-0700-00006C000000}"/>
            </a:ext>
          </a:extLst>
        </xdr:cNvPr>
        <xdr:cNvSpPr txBox="1"/>
      </xdr:nvSpPr>
      <xdr:spPr>
        <a:xfrm>
          <a:off x="1524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12</xdr:row>
      <xdr:rowOff>0</xdr:rowOff>
    </xdr:from>
    <xdr:ext cx="184731" cy="264560"/>
    <xdr:sp macro="" textlink="">
      <xdr:nvSpPr>
        <xdr:cNvPr id="109" name="CaixaDeTexto 108">
          <a:extLst>
            <a:ext uri="{FF2B5EF4-FFF2-40B4-BE49-F238E27FC236}">
              <a16:creationId xmlns:a16="http://schemas.microsoft.com/office/drawing/2014/main" id="{00000000-0008-0000-0700-00006D000000}"/>
            </a:ext>
          </a:extLst>
        </xdr:cNvPr>
        <xdr:cNvSpPr txBox="1"/>
      </xdr:nvSpPr>
      <xdr:spPr>
        <a:xfrm>
          <a:off x="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110" name="CaixaDeTexto 109">
          <a:extLst>
            <a:ext uri="{FF2B5EF4-FFF2-40B4-BE49-F238E27FC236}">
              <a16:creationId xmlns:a16="http://schemas.microsoft.com/office/drawing/2014/main" id="{00000000-0008-0000-0700-00006E000000}"/>
            </a:ext>
          </a:extLst>
        </xdr:cNvPr>
        <xdr:cNvSpPr txBox="1"/>
      </xdr:nvSpPr>
      <xdr:spPr>
        <a:xfrm>
          <a:off x="15240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111" name="CaixaDeTexto 110">
          <a:extLst>
            <a:ext uri="{FF2B5EF4-FFF2-40B4-BE49-F238E27FC236}">
              <a16:creationId xmlns:a16="http://schemas.microsoft.com/office/drawing/2014/main" id="{00000000-0008-0000-0700-00006F000000}"/>
            </a:ext>
          </a:extLst>
        </xdr:cNvPr>
        <xdr:cNvSpPr txBox="1"/>
      </xdr:nvSpPr>
      <xdr:spPr>
        <a:xfrm>
          <a:off x="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112" name="CaixaDeTexto 111">
          <a:extLst>
            <a:ext uri="{FF2B5EF4-FFF2-40B4-BE49-F238E27FC236}">
              <a16:creationId xmlns:a16="http://schemas.microsoft.com/office/drawing/2014/main" id="{00000000-0008-0000-0700-000070000000}"/>
            </a:ext>
          </a:extLst>
        </xdr:cNvPr>
        <xdr:cNvSpPr txBox="1"/>
      </xdr:nvSpPr>
      <xdr:spPr>
        <a:xfrm>
          <a:off x="15240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113" name="CaixaDeTexto 112">
          <a:extLst>
            <a:ext uri="{FF2B5EF4-FFF2-40B4-BE49-F238E27FC236}">
              <a16:creationId xmlns:a16="http://schemas.microsoft.com/office/drawing/2014/main" id="{00000000-0008-0000-0700-000071000000}"/>
            </a:ext>
          </a:extLst>
        </xdr:cNvPr>
        <xdr:cNvSpPr txBox="1"/>
      </xdr:nvSpPr>
      <xdr:spPr>
        <a:xfrm>
          <a:off x="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152400</xdr:colOff>
      <xdr:row>16</xdr:row>
      <xdr:rowOff>0</xdr:rowOff>
    </xdr:from>
    <xdr:ext cx="184731" cy="264560"/>
    <xdr:sp macro="" textlink="">
      <xdr:nvSpPr>
        <xdr:cNvPr id="114" name="CaixaDeTexto 113">
          <a:extLst>
            <a:ext uri="{FF2B5EF4-FFF2-40B4-BE49-F238E27FC236}">
              <a16:creationId xmlns:a16="http://schemas.microsoft.com/office/drawing/2014/main" id="{00000000-0008-0000-0700-000072000000}"/>
            </a:ext>
          </a:extLst>
        </xdr:cNvPr>
        <xdr:cNvSpPr txBox="1"/>
      </xdr:nvSpPr>
      <xdr:spPr>
        <a:xfrm>
          <a:off x="15240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0</xdr:col>
      <xdr:colOff>0</xdr:colOff>
      <xdr:row>16</xdr:row>
      <xdr:rowOff>0</xdr:rowOff>
    </xdr:from>
    <xdr:ext cx="184731" cy="264560"/>
    <xdr:sp macro="" textlink="">
      <xdr:nvSpPr>
        <xdr:cNvPr id="115" name="CaixaDeTexto 114">
          <a:extLst>
            <a:ext uri="{FF2B5EF4-FFF2-40B4-BE49-F238E27FC236}">
              <a16:creationId xmlns:a16="http://schemas.microsoft.com/office/drawing/2014/main" id="{00000000-0008-0000-0700-000073000000}"/>
            </a:ext>
          </a:extLst>
        </xdr:cNvPr>
        <xdr:cNvSpPr txBox="1"/>
      </xdr:nvSpPr>
      <xdr:spPr>
        <a:xfrm>
          <a:off x="0" y="1168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9524</xdr:colOff>
      <xdr:row>4</xdr:row>
      <xdr:rowOff>11430</xdr:rowOff>
    </xdr:from>
    <xdr:to>
      <xdr:col>1</xdr:col>
      <xdr:colOff>9524</xdr:colOff>
      <xdr:row>5</xdr:row>
      <xdr:rowOff>0</xdr:rowOff>
    </xdr:to>
    <xdr:pic>
      <xdr:nvPicPr>
        <xdr:cNvPr id="2" name="Imagem 1">
          <a:extLst>
            <a:ext uri="{FF2B5EF4-FFF2-40B4-BE49-F238E27FC236}">
              <a16:creationId xmlns:a16="http://schemas.microsoft.com/office/drawing/2014/main" id="{BFDA6D69-637A-441E-AD3F-886BC33385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5326380"/>
          <a:ext cx="3381375" cy="2312670"/>
        </a:xfrm>
        <a:prstGeom prst="rect">
          <a:avLst/>
        </a:prstGeom>
      </xdr:spPr>
    </xdr:pic>
    <xdr:clientData/>
  </xdr:twoCellAnchor>
  <xdr:twoCellAnchor editAs="oneCell">
    <xdr:from>
      <xdr:col>1</xdr:col>
      <xdr:colOff>13335</xdr:colOff>
      <xdr:row>2</xdr:row>
      <xdr:rowOff>1904</xdr:rowOff>
    </xdr:from>
    <xdr:to>
      <xdr:col>1</xdr:col>
      <xdr:colOff>3368040</xdr:colOff>
      <xdr:row>3</xdr:row>
      <xdr:rowOff>19049</xdr:rowOff>
    </xdr:to>
    <xdr:pic>
      <xdr:nvPicPr>
        <xdr:cNvPr id="3" name="Imagem 2">
          <a:extLst>
            <a:ext uri="{FF2B5EF4-FFF2-40B4-BE49-F238E27FC236}">
              <a16:creationId xmlns:a16="http://schemas.microsoft.com/office/drawing/2014/main" id="{03076A43-0F8A-458D-B665-42AD698F1C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94710" y="668654"/>
          <a:ext cx="3354705" cy="2341245"/>
        </a:xfrm>
        <a:prstGeom prst="rect">
          <a:avLst/>
        </a:prstGeom>
      </xdr:spPr>
    </xdr:pic>
    <xdr:clientData/>
  </xdr:twoCellAnchor>
  <xdr:twoCellAnchor editAs="oneCell">
    <xdr:from>
      <xdr:col>0</xdr:col>
      <xdr:colOff>22860</xdr:colOff>
      <xdr:row>1</xdr:row>
      <xdr:rowOff>196214</xdr:rowOff>
    </xdr:from>
    <xdr:to>
      <xdr:col>1</xdr:col>
      <xdr:colOff>0</xdr:colOff>
      <xdr:row>3</xdr:row>
      <xdr:rowOff>9524</xdr:rowOff>
    </xdr:to>
    <xdr:pic>
      <xdr:nvPicPr>
        <xdr:cNvPr id="4" name="Imagem 3">
          <a:extLst>
            <a:ext uri="{FF2B5EF4-FFF2-40B4-BE49-F238E27FC236}">
              <a16:creationId xmlns:a16="http://schemas.microsoft.com/office/drawing/2014/main" id="{53AF08B3-48A4-4684-B1C1-1CDC2B11F2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860" y="662939"/>
          <a:ext cx="3358515" cy="2337435"/>
        </a:xfrm>
        <a:prstGeom prst="rect">
          <a:avLst/>
        </a:prstGeom>
      </xdr:spPr>
    </xdr:pic>
    <xdr:clientData/>
  </xdr:twoCellAnchor>
  <xdr:twoCellAnchor editAs="oneCell">
    <xdr:from>
      <xdr:col>0</xdr:col>
      <xdr:colOff>19050</xdr:colOff>
      <xdr:row>3</xdr:row>
      <xdr:rowOff>1904</xdr:rowOff>
    </xdr:from>
    <xdr:to>
      <xdr:col>1</xdr:col>
      <xdr:colOff>0</xdr:colOff>
      <xdr:row>4</xdr:row>
      <xdr:rowOff>19049</xdr:rowOff>
    </xdr:to>
    <xdr:pic>
      <xdr:nvPicPr>
        <xdr:cNvPr id="5" name="Imagem 4">
          <a:extLst>
            <a:ext uri="{FF2B5EF4-FFF2-40B4-BE49-F238E27FC236}">
              <a16:creationId xmlns:a16="http://schemas.microsoft.com/office/drawing/2014/main" id="{768FFADC-DDD6-42DA-84F5-BF6E525612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050" y="2992754"/>
          <a:ext cx="3362325" cy="2341245"/>
        </a:xfrm>
        <a:prstGeom prst="rect">
          <a:avLst/>
        </a:prstGeom>
      </xdr:spPr>
    </xdr:pic>
    <xdr:clientData/>
  </xdr:twoCellAnchor>
  <xdr:twoCellAnchor editAs="oneCell">
    <xdr:from>
      <xdr:col>1</xdr:col>
      <xdr:colOff>5715</xdr:colOff>
      <xdr:row>3</xdr:row>
      <xdr:rowOff>15239</xdr:rowOff>
    </xdr:from>
    <xdr:to>
      <xdr:col>2</xdr:col>
      <xdr:colOff>0</xdr:colOff>
      <xdr:row>4</xdr:row>
      <xdr:rowOff>9524</xdr:rowOff>
    </xdr:to>
    <xdr:pic>
      <xdr:nvPicPr>
        <xdr:cNvPr id="6" name="Imagem 5">
          <a:extLst>
            <a:ext uri="{FF2B5EF4-FFF2-40B4-BE49-F238E27FC236}">
              <a16:creationId xmlns:a16="http://schemas.microsoft.com/office/drawing/2014/main" id="{B8698228-6F22-4539-A117-528290F194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87090" y="3006089"/>
          <a:ext cx="3375660" cy="2318385"/>
        </a:xfrm>
        <a:prstGeom prst="rect">
          <a:avLst/>
        </a:prstGeom>
      </xdr:spPr>
    </xdr:pic>
    <xdr:clientData/>
  </xdr:twoCellAnchor>
  <xdr:twoCellAnchor editAs="oneCell">
    <xdr:from>
      <xdr:col>0</xdr:col>
      <xdr:colOff>3377565</xdr:colOff>
      <xdr:row>4</xdr:row>
      <xdr:rowOff>11430</xdr:rowOff>
    </xdr:from>
    <xdr:to>
      <xdr:col>1</xdr:col>
      <xdr:colOff>3371850</xdr:colOff>
      <xdr:row>5</xdr:row>
      <xdr:rowOff>0</xdr:rowOff>
    </xdr:to>
    <xdr:pic>
      <xdr:nvPicPr>
        <xdr:cNvPr id="7" name="Imagem 6">
          <a:extLst>
            <a:ext uri="{FF2B5EF4-FFF2-40B4-BE49-F238E27FC236}">
              <a16:creationId xmlns:a16="http://schemas.microsoft.com/office/drawing/2014/main" id="{761958E6-FCC3-4CB8-806A-9BD3063AF2C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77565" y="5326380"/>
          <a:ext cx="3375660" cy="2312670"/>
        </a:xfrm>
        <a:prstGeom prst="rect">
          <a:avLst/>
        </a:prstGeom>
      </xdr:spPr>
    </xdr:pic>
    <xdr:clientData/>
  </xdr:twoCellAnchor>
  <xdr:twoCellAnchor editAs="oneCell">
    <xdr:from>
      <xdr:col>1</xdr:col>
      <xdr:colOff>9525</xdr:colOff>
      <xdr:row>5</xdr:row>
      <xdr:rowOff>9524</xdr:rowOff>
    </xdr:from>
    <xdr:to>
      <xdr:col>1</xdr:col>
      <xdr:colOff>3362325</xdr:colOff>
      <xdr:row>5</xdr:row>
      <xdr:rowOff>2324099</xdr:rowOff>
    </xdr:to>
    <xdr:pic>
      <xdr:nvPicPr>
        <xdr:cNvPr id="8" name="Imagem 7">
          <a:extLst>
            <a:ext uri="{FF2B5EF4-FFF2-40B4-BE49-F238E27FC236}">
              <a16:creationId xmlns:a16="http://schemas.microsoft.com/office/drawing/2014/main" id="{A2CABE91-5CF1-46E5-8A5A-A973D223C3F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90900" y="7648574"/>
          <a:ext cx="3352800" cy="2314575"/>
        </a:xfrm>
        <a:prstGeom prst="rect">
          <a:avLst/>
        </a:prstGeom>
      </xdr:spPr>
    </xdr:pic>
    <xdr:clientData/>
  </xdr:twoCellAnchor>
  <xdr:twoCellAnchor editAs="oneCell">
    <xdr:from>
      <xdr:col>0</xdr:col>
      <xdr:colOff>13335</xdr:colOff>
      <xdr:row>5</xdr:row>
      <xdr:rowOff>5714</xdr:rowOff>
    </xdr:from>
    <xdr:to>
      <xdr:col>1</xdr:col>
      <xdr:colOff>9525</xdr:colOff>
      <xdr:row>5</xdr:row>
      <xdr:rowOff>2324099</xdr:rowOff>
    </xdr:to>
    <xdr:pic>
      <xdr:nvPicPr>
        <xdr:cNvPr id="9" name="Imagem 8">
          <a:extLst>
            <a:ext uri="{FF2B5EF4-FFF2-40B4-BE49-F238E27FC236}">
              <a16:creationId xmlns:a16="http://schemas.microsoft.com/office/drawing/2014/main" id="{C0451964-8DA2-4E73-B95F-4224FC0FD9D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335" y="7644764"/>
          <a:ext cx="3377565" cy="23183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co\c\Soercel-2000\DTE\CST\Or&#231;amento\SISTEMA%20EL&#201;TRICO%20LTQ\TOSHIBA\Planejamento\FERROSTA\PL-AQUAC\MAPA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iliarde\shareddocs\OBRAS\Projeto%20da%20%20ES-381-NOVA%20VEN&#201;CIA\Medi&#231;&#245;es\7&#170;\Documents%20and%20Settings\Gustavo\Desktop\DERTES%202006\Construtora%20&#193;pia%20Ltda._Contrato%20015_2006\ES%20446%20-%20PLANILHA%20OBR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infra2/Meus%20documentos/Downloads/Laudo%20072-2014%20-%2059635061.xlsm"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ACSP8%20010%2000%20-%20CAPTA&#199;&#195;O%20SERRA%20PELADA.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CMFDM1%20313%2001%20-%20Unid.de%20Proc&#186;%20de%20Res&#237;duos%20-%20Cub&#237;culo%20do%20BIOG&#193;S%20e%20Queimador.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RL.ORC.AGU.005.R2.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OR96088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6CB95571\15MP_09.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ngen-bigossi\d\Andressa\Andressa\canal%20bigossi\BM_CHEIM\BM\16&#170;BM\16&#186;%20MP%20Cheim_ok.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CBSD1%20066%2002%20-%20TRAVESSIA%203%20%20-%20(%20SOBRE%20O%20RIO%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idor\pub_geral\Atrab\tecsan\MC-Calc\MC-E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lanej\c\Keyloir%20Trabalhos\Zortea\Arquivos%20Oficiais\Completo\WINDOWS\TEMP\eap\Soercel-2000\DTE\CST\Or&#231;amento\SISTEMA%20EL&#201;TRICO%20LTQ\TOSHIBA\Planejamento\FERROSTA\PL-AQUAC\MAPA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HD%201/Traco%20Forte/Pref.%20Guarapar&#237;/Creche/planilha%20cemei%20Maria%20Gama.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NVSD8%20002%2001%20-%20rev1%20-%20ADUTORA%20DE%20&#193;GUA%20TRATADA%20DN%20250%20F&#186;F&#186;%20-%20GRAVIDADE.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NVSD8%20002%2001%20-%20ADUTORA%20DE%20&#193;GUA%20TRATADA%20DN%20250%20F&#186;F&#186;%20-%20GRAVIDAD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Users/usuario/Desktop/PLANILHA_TJFES_AUTOMSEG_06_01_10_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d.docs.live.net/Dados/Documents%20and%20Settings/Gustavo/Desktop/DERTES%202006/Construtora%20&#193;pia%20Ltda._Contrato%20015_2006/ES%20446%20-%20PLANILHA%20OBR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Atlas\Obras%202007-2008-2009\Obra%20195%20-%20Vale%20-%20Amplia&#231;&#227;o%20do%20p&#225;tio%20da%20moega%20de%20gusa\PLANEJAMENTO%20E%20CONTROLE%20195\Cronograma%20Obra%20195\Anexo%2001%20-%20EAP%20(Ok).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NVSD1%20076%2001%20-%20SISTEMA%20DE%20DRENAGEM%20-%20NOVA%20VEN&#201;CI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idor\Atlas\Samarco%20-%20Planejamento\Outokumpu\1452Fverde_rev_3.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RL.ORC.TODOS.R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p-11207\c\Sergio\Amazonas\Dom%20eliseu\Bm%208-abr-dom%20elise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6dx2\c\FERROSTA\PL-AQUAC\MAPA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dor\atlas\DOCUME~1\LIDIAN~1\CONFIG~1\Temp\XPgrpwise\David%20Louren&#231;o\Painel%20de%20Controle%20-%20Nova%20Revis&#227;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TESE031\Usuarios\DOC\Micro_ASHFORD\PLANILHAS%202001%20(TUDO)\PROJETO%20ALVORADA%202\ALVORADA%20COMPLETO\E.E%20E.F.M.%20Napole&#227;o%20A.%20N&#243;brega%20-%20S.%20Mamede.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CMFDM1%20292%2001%20-%20Unid.de%20Processamento%20de%20Res&#237;duos%20-%20Reservat&#243;rio%20Met&#225;lic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NTROLE\CONTROLE2\Se&#231;&#227;o%20T&#233;cnica\DIVERSO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ESE031\Usuarios\DOC\Micro_ASHFORD\PLANILHAS%202001%20(TUDO)\PROJETO%20ALVORADA%202\ALVORADA%20COMPLETO\E.E%20E.F.M.%20de%20Alcantil%20-%20Alcanti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EAP"/>
      <sheetName val="CURVA GERAL"/>
      <sheetName val="CURVAS - S"/>
      <sheetName val="9.1 - CURVA"/>
    </sheetNames>
    <sheetDataSet>
      <sheetData sheetId="0"/>
      <sheetData sheetId="1"/>
      <sheetData sheetId="2"/>
      <sheetData sheetId="3"/>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da"/>
      <sheetName val="Plan1"/>
      <sheetName val="Resumo"/>
      <sheetName val="BAIXO GUANDU ITAIMBE"/>
      <sheetName val="cff1"/>
      <sheetName val="ITAIMBE ITAGUACU"/>
      <sheetName val="cff2"/>
      <sheetName val="BAIXO GUANDU AIMORES"/>
      <sheetName val="Tudo"/>
      <sheetName val="cff3"/>
      <sheetName val="abc ápia"/>
      <sheetName val="abc órgão"/>
      <sheetName val="consolidada"/>
      <sheetName val="MEMOR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udo"/>
      <sheetName val="Plan1"/>
      <sheetName val="LISTAS"/>
      <sheetName val="Plan2"/>
      <sheetName val="planilha"/>
    </sheetNames>
    <sheetDataSet>
      <sheetData sheetId="0"/>
      <sheetData sheetId="1">
        <row r="2">
          <cell r="A2" t="str">
            <v>OBJETIVO</v>
          </cell>
        </row>
        <row r="3">
          <cell r="A3" t="str">
            <v>Valor de Mercado</v>
          </cell>
        </row>
        <row r="4">
          <cell r="A4" t="str">
            <v>Liquidação Forçada</v>
          </cell>
        </row>
        <row r="5">
          <cell r="A5" t="str">
            <v>Valor de Desmonte</v>
          </cell>
        </row>
        <row r="6">
          <cell r="A6" t="str">
            <v>Valor em Risco</v>
          </cell>
        </row>
        <row r="7">
          <cell r="A7" t="str">
            <v>Outros</v>
          </cell>
        </row>
        <row r="8">
          <cell r="A8" t="str">
            <v>FINALIDADE</v>
          </cell>
        </row>
        <row r="9">
          <cell r="A9" t="str">
            <v>Alienação</v>
          </cell>
        </row>
        <row r="10">
          <cell r="A10" t="str">
            <v>Aquisição</v>
          </cell>
        </row>
        <row r="11">
          <cell r="A11" t="str">
            <v>Arrematação/Adjudicação</v>
          </cell>
        </row>
        <row r="12">
          <cell r="A12" t="str">
            <v>Doação</v>
          </cell>
        </row>
        <row r="13">
          <cell r="A13" t="str">
            <v>Dação em Pagamento</v>
          </cell>
        </row>
        <row r="14">
          <cell r="A14" t="str">
            <v>Garantia de Operação</v>
          </cell>
        </row>
        <row r="15">
          <cell r="A15" t="str">
            <v>Locação</v>
          </cell>
        </row>
        <row r="16">
          <cell r="A16" t="str">
            <v>Levantamento Patrimonial</v>
          </cell>
        </row>
        <row r="17">
          <cell r="A17" t="str">
            <v>Permuta</v>
          </cell>
        </row>
        <row r="18">
          <cell r="A18" t="str">
            <v>Taxa de Ocupação Funcional</v>
          </cell>
        </row>
        <row r="21">
          <cell r="A21" t="str">
            <v>PADRAO_CONST_PREDOM</v>
          </cell>
        </row>
        <row r="22">
          <cell r="A22" t="str">
            <v>Alto</v>
          </cell>
        </row>
        <row r="23">
          <cell r="A23" t="str">
            <v>Normal</v>
          </cell>
        </row>
        <row r="24">
          <cell r="A24" t="str">
            <v>Baixo</v>
          </cell>
        </row>
        <row r="25">
          <cell r="A25" t="str">
            <v>Proletário</v>
          </cell>
        </row>
        <row r="26">
          <cell r="A26" t="str">
            <v>CONDICOES_ACESSO</v>
          </cell>
        </row>
        <row r="27">
          <cell r="A27" t="str">
            <v>Bom/Satisfatório</v>
          </cell>
        </row>
        <row r="28">
          <cell r="A28" t="str">
            <v>Regular</v>
          </cell>
        </row>
        <row r="29">
          <cell r="A29" t="str">
            <v>Ruim/Insatisfatório</v>
          </cell>
        </row>
        <row r="30">
          <cell r="A30" t="str">
            <v>FACILID_ESTACIONAMENTO</v>
          </cell>
        </row>
        <row r="31">
          <cell r="A31" t="str">
            <v>Bom/Satisfatório</v>
          </cell>
        </row>
        <row r="32">
          <cell r="A32" t="str">
            <v>Regular</v>
          </cell>
        </row>
        <row r="33">
          <cell r="A33" t="str">
            <v>Ruim/Insatisfatório</v>
          </cell>
        </row>
        <row r="34">
          <cell r="A34" t="str">
            <v>DENSIDADE_HABITACIONAL</v>
          </cell>
        </row>
        <row r="35">
          <cell r="A35" t="str">
            <v>Alta</v>
          </cell>
        </row>
        <row r="36">
          <cell r="A36" t="str">
            <v>Média</v>
          </cell>
        </row>
        <row r="37">
          <cell r="A37" t="str">
            <v>Baixa</v>
          </cell>
        </row>
        <row r="38">
          <cell r="A38" t="str">
            <v>RESTRICOES</v>
          </cell>
        </row>
        <row r="39">
          <cell r="A39" t="str">
            <v>Físicas</v>
          </cell>
        </row>
        <row r="40">
          <cell r="A40" t="str">
            <v>Ambientais</v>
          </cell>
        </row>
        <row r="41">
          <cell r="A41" t="str">
            <v>Legais</v>
          </cell>
        </row>
        <row r="42">
          <cell r="A42" t="str">
            <v>Socioeconômicas</v>
          </cell>
        </row>
        <row r="43">
          <cell r="A43" t="str">
            <v>Nenhuma</v>
          </cell>
        </row>
        <row r="46">
          <cell r="A46" t="str">
            <v>FORMATO</v>
          </cell>
        </row>
        <row r="47">
          <cell r="A47" t="str">
            <v>Retangular</v>
          </cell>
        </row>
        <row r="48">
          <cell r="A48" t="str">
            <v>Trapezoidal</v>
          </cell>
        </row>
        <row r="49">
          <cell r="A49" t="str">
            <v>Triangular</v>
          </cell>
        </row>
        <row r="50">
          <cell r="A50" t="str">
            <v>Irregular</v>
          </cell>
        </row>
        <row r="51">
          <cell r="A51" t="str">
            <v>Outros</v>
          </cell>
        </row>
        <row r="52">
          <cell r="A52" t="str">
            <v>COTA_GREIDE</v>
          </cell>
        </row>
        <row r="53">
          <cell r="A53" t="str">
            <v>No Nível</v>
          </cell>
        </row>
        <row r="54">
          <cell r="A54" t="str">
            <v>Acima</v>
          </cell>
        </row>
        <row r="55">
          <cell r="A55" t="str">
            <v>Abaixo</v>
          </cell>
        </row>
        <row r="56">
          <cell r="A56" t="str">
            <v>INCLINACAO</v>
          </cell>
        </row>
        <row r="57">
          <cell r="A57" t="str">
            <v>Plano/Semi-plano</v>
          </cell>
        </row>
        <row r="58">
          <cell r="A58" t="str">
            <v>Aclive/Declive &gt; 10%</v>
          </cell>
        </row>
        <row r="59">
          <cell r="A59" t="str">
            <v>Acidentado</v>
          </cell>
        </row>
        <row r="60">
          <cell r="A60" t="str">
            <v>SITUACAO</v>
          </cell>
        </row>
        <row r="61">
          <cell r="A61" t="str">
            <v>Meio de Quadra</v>
          </cell>
        </row>
        <row r="62">
          <cell r="A62" t="str">
            <v>Esquina</v>
          </cell>
        </row>
        <row r="63">
          <cell r="A63" t="str">
            <v>Quadra Inteira</v>
          </cell>
        </row>
        <row r="64">
          <cell r="A64" t="str">
            <v>Outros</v>
          </cell>
        </row>
        <row r="65">
          <cell r="A65" t="str">
            <v>SUPERFICIE</v>
          </cell>
        </row>
        <row r="66">
          <cell r="A66" t="str">
            <v>Seco</v>
          </cell>
        </row>
        <row r="67">
          <cell r="A67" t="str">
            <v>Brejoso</v>
          </cell>
        </row>
        <row r="68">
          <cell r="A68" t="str">
            <v>Alagável</v>
          </cell>
        </row>
        <row r="69">
          <cell r="A69" t="str">
            <v>Outros</v>
          </cell>
        </row>
        <row r="73">
          <cell r="A73" t="str">
            <v>TIPO</v>
          </cell>
        </row>
        <row r="74">
          <cell r="A74" t="str">
            <v>Casa</v>
          </cell>
        </row>
        <row r="75">
          <cell r="A75" t="str">
            <v>Loja</v>
          </cell>
        </row>
        <row r="76">
          <cell r="A76" t="str">
            <v>Terreno</v>
          </cell>
        </row>
        <row r="77">
          <cell r="A77" t="str">
            <v>Prédio</v>
          </cell>
        </row>
        <row r="78">
          <cell r="A78" t="str">
            <v>Galpão</v>
          </cell>
        </row>
        <row r="79">
          <cell r="A79" t="str">
            <v>Outros</v>
          </cell>
        </row>
        <row r="80">
          <cell r="A80" t="str">
            <v>USO</v>
          </cell>
        </row>
        <row r="81">
          <cell r="A81" t="str">
            <v>Residencial</v>
          </cell>
        </row>
        <row r="82">
          <cell r="A82" t="str">
            <v>Comercial</v>
          </cell>
        </row>
        <row r="83">
          <cell r="A83" t="str">
            <v>Industrial</v>
          </cell>
        </row>
        <row r="84">
          <cell r="A84" t="str">
            <v>Institucional</v>
          </cell>
        </row>
        <row r="85">
          <cell r="A85" t="str">
            <v>Misto</v>
          </cell>
        </row>
        <row r="86">
          <cell r="A86" t="str">
            <v>Outros</v>
          </cell>
        </row>
        <row r="87">
          <cell r="A87" t="str">
            <v>POSICAO</v>
          </cell>
        </row>
        <row r="88">
          <cell r="A88" t="str">
            <v>Frente/Canto</v>
          </cell>
        </row>
        <row r="89">
          <cell r="A89" t="str">
            <v>Frente/Meio</v>
          </cell>
        </row>
        <row r="90">
          <cell r="A90" t="str">
            <v>Fundos/Canto</v>
          </cell>
        </row>
        <row r="91">
          <cell r="A91" t="str">
            <v xml:space="preserve">Fundos/Meio </v>
          </cell>
        </row>
        <row r="92">
          <cell r="A92" t="str">
            <v>Lateral</v>
          </cell>
        </row>
        <row r="93">
          <cell r="A93" t="str">
            <v>Outros</v>
          </cell>
        </row>
        <row r="94">
          <cell r="A94" t="str">
            <v>SISTEMA_ESTRUTURAL</v>
          </cell>
        </row>
        <row r="95">
          <cell r="A95" t="str">
            <v>Alvenaria Estrutural</v>
          </cell>
        </row>
        <row r="96">
          <cell r="A96" t="str">
            <v>Estrutura Metálica</v>
          </cell>
        </row>
        <row r="97">
          <cell r="A97" t="str">
            <v>Concreto Armado</v>
          </cell>
        </row>
        <row r="98">
          <cell r="A98" t="str">
            <v>Madeira</v>
          </cell>
        </row>
        <row r="99">
          <cell r="A99" t="str">
            <v>Misto</v>
          </cell>
        </row>
        <row r="100">
          <cell r="A100" t="str">
            <v>Outros</v>
          </cell>
        </row>
        <row r="101">
          <cell r="A101" t="str">
            <v>FECHAMENTO_PAREDES</v>
          </cell>
        </row>
        <row r="102">
          <cell r="A102" t="str">
            <v>Alvenaria</v>
          </cell>
        </row>
        <row r="103">
          <cell r="A103" t="str">
            <v>Madeira</v>
          </cell>
        </row>
        <row r="104">
          <cell r="A104" t="str">
            <v>Alvenaria/Madeira</v>
          </cell>
        </row>
        <row r="105">
          <cell r="A105" t="str">
            <v>Outros</v>
          </cell>
        </row>
        <row r="106">
          <cell r="A106" t="str">
            <v>TETOS</v>
          </cell>
        </row>
        <row r="107">
          <cell r="A107" t="str">
            <v>Forro</v>
          </cell>
        </row>
        <row r="108">
          <cell r="A108" t="str">
            <v>Laje</v>
          </cell>
        </row>
        <row r="109">
          <cell r="A109" t="str">
            <v>Telhado Aparente</v>
          </cell>
        </row>
        <row r="110">
          <cell r="A110" t="str">
            <v>Outros</v>
          </cell>
        </row>
        <row r="111">
          <cell r="A111" t="str">
            <v>PISOS</v>
          </cell>
        </row>
        <row r="112">
          <cell r="A112" t="str">
            <v>Cerâmica</v>
          </cell>
        </row>
        <row r="113">
          <cell r="A113" t="str">
            <v>Granito</v>
          </cell>
        </row>
        <row r="114">
          <cell r="A114" t="str">
            <v>Porcelanato</v>
          </cell>
        </row>
        <row r="115">
          <cell r="A115" t="str">
            <v>Madeira</v>
          </cell>
        </row>
        <row r="116">
          <cell r="A116" t="str">
            <v>Acrílico</v>
          </cell>
        </row>
        <row r="117">
          <cell r="A117" t="str">
            <v>Cimentado</v>
          </cell>
        </row>
        <row r="118">
          <cell r="A118" t="str">
            <v>Pedra</v>
          </cell>
        </row>
        <row r="119">
          <cell r="A119" t="str">
            <v>Diversos</v>
          </cell>
        </row>
        <row r="120">
          <cell r="A120" t="str">
            <v>Outros</v>
          </cell>
        </row>
        <row r="121">
          <cell r="A121" t="str">
            <v>ESQUADRIAS</v>
          </cell>
        </row>
        <row r="122">
          <cell r="A122" t="str">
            <v>Madeira</v>
          </cell>
        </row>
        <row r="123">
          <cell r="A123" t="str">
            <v>Alumínio</v>
          </cell>
        </row>
        <row r="124">
          <cell r="A124" t="str">
            <v>PVC</v>
          </cell>
        </row>
        <row r="125">
          <cell r="A125" t="str">
            <v>Outros</v>
          </cell>
        </row>
        <row r="126">
          <cell r="A126" t="str">
            <v>PADRAO_ACABAMENTO</v>
          </cell>
        </row>
        <row r="127">
          <cell r="A127" t="str">
            <v>Alto</v>
          </cell>
        </row>
        <row r="128">
          <cell r="A128" t="str">
            <v>Entre normal e alto</v>
          </cell>
        </row>
        <row r="129">
          <cell r="A129" t="str">
            <v>Normal</v>
          </cell>
        </row>
        <row r="130">
          <cell r="A130" t="str">
            <v>Entre normal e baixo</v>
          </cell>
        </row>
        <row r="131">
          <cell r="A131" t="str">
            <v>Baixo</v>
          </cell>
        </row>
        <row r="132">
          <cell r="A132" t="str">
            <v>Entre baixo e mínimo</v>
          </cell>
        </row>
        <row r="133">
          <cell r="A133" t="str">
            <v>Mínimo</v>
          </cell>
        </row>
        <row r="134">
          <cell r="A134" t="str">
            <v>ESTADO_CONSERVACAO</v>
          </cell>
        </row>
        <row r="135">
          <cell r="A135" t="str">
            <v>Novo</v>
          </cell>
        </row>
        <row r="136">
          <cell r="A136" t="str">
            <v>Bom</v>
          </cell>
        </row>
        <row r="137">
          <cell r="A137" t="str">
            <v>Regular</v>
          </cell>
        </row>
        <row r="138">
          <cell r="A138" t="str">
            <v>Necessita Reparos Simples</v>
          </cell>
        </row>
        <row r="139">
          <cell r="A139" t="str">
            <v>Necessita Reparos Importantes</v>
          </cell>
        </row>
        <row r="140">
          <cell r="A140" t="str">
            <v>Sem Valor</v>
          </cell>
        </row>
        <row r="141">
          <cell r="A141" t="str">
            <v>VENT_ILUM.NATURAL</v>
          </cell>
        </row>
        <row r="142">
          <cell r="A142" t="str">
            <v>Bom/Satistatório</v>
          </cell>
        </row>
        <row r="143">
          <cell r="A143" t="str">
            <v>Regular/Normal</v>
          </cell>
        </row>
        <row r="144">
          <cell r="A144" t="str">
            <v>Ruim/Insatisfatório</v>
          </cell>
        </row>
        <row r="145">
          <cell r="A145" t="str">
            <v>ASPECTO_ARQ</v>
          </cell>
        </row>
        <row r="146">
          <cell r="A146" t="str">
            <v>Bom/Satistatório</v>
          </cell>
        </row>
        <row r="147">
          <cell r="A147" t="str">
            <v>Regular/Normal</v>
          </cell>
        </row>
        <row r="148">
          <cell r="A148" t="str">
            <v>Ruim/Insatisfatório</v>
          </cell>
        </row>
        <row r="149">
          <cell r="A149" t="str">
            <v>REFORMA</v>
          </cell>
        </row>
        <row r="150">
          <cell r="A150" t="str">
            <v>Recente</v>
          </cell>
        </row>
        <row r="151">
          <cell r="A151" t="str">
            <v>Antiga/Parcial</v>
          </cell>
        </row>
        <row r="152">
          <cell r="A152" t="str">
            <v>Não Há</v>
          </cell>
        </row>
        <row r="153">
          <cell r="A153" t="str">
            <v>OCUPACAO</v>
          </cell>
        </row>
        <row r="154">
          <cell r="A154" t="str">
            <v>Pelo Proprietário</v>
          </cell>
        </row>
        <row r="155">
          <cell r="A155" t="str">
            <v>Alugado</v>
          </cell>
        </row>
        <row r="156">
          <cell r="A156" t="str">
            <v>Cedido/Comodato</v>
          </cell>
        </row>
        <row r="157">
          <cell r="A157" t="str">
            <v>Desocupado</v>
          </cell>
        </row>
        <row r="158">
          <cell r="A158" t="str">
            <v>Invasão</v>
          </cell>
        </row>
        <row r="159">
          <cell r="A159" t="str">
            <v>HABITABILIDADE</v>
          </cell>
        </row>
        <row r="160">
          <cell r="A160" t="str">
            <v>Sim</v>
          </cell>
        </row>
        <row r="161">
          <cell r="A161" t="str">
            <v>Não</v>
          </cell>
        </row>
        <row r="162">
          <cell r="A162" t="str">
            <v>Parcial</v>
          </cell>
        </row>
        <row r="163">
          <cell r="A163" t="str">
            <v>ESTABILIDADE</v>
          </cell>
        </row>
        <row r="164">
          <cell r="A164" t="str">
            <v>Sim</v>
          </cell>
        </row>
        <row r="165">
          <cell r="A165" t="str">
            <v>Não</v>
          </cell>
        </row>
        <row r="166">
          <cell r="A166" t="str">
            <v>VICIOS</v>
          </cell>
        </row>
        <row r="167">
          <cell r="A167" t="str">
            <v>Sim</v>
          </cell>
        </row>
        <row r="168">
          <cell r="A168" t="str">
            <v>Não</v>
          </cell>
        </row>
        <row r="171">
          <cell r="A171" t="str">
            <v>DEMANDA</v>
          </cell>
        </row>
        <row r="172">
          <cell r="A172" t="str">
            <v>Alta</v>
          </cell>
        </row>
        <row r="173">
          <cell r="A173" t="str">
            <v>Média</v>
          </cell>
        </row>
        <row r="174">
          <cell r="A174" t="str">
            <v>Baixa</v>
          </cell>
        </row>
        <row r="175">
          <cell r="A175" t="str">
            <v>OFERTAS</v>
          </cell>
        </row>
        <row r="176">
          <cell r="A176" t="str">
            <v>Alto</v>
          </cell>
        </row>
        <row r="177">
          <cell r="A177" t="str">
            <v>Médio</v>
          </cell>
        </row>
        <row r="178">
          <cell r="A178" t="str">
            <v>Baixo</v>
          </cell>
        </row>
        <row r="179">
          <cell r="A179" t="str">
            <v>Inexistente</v>
          </cell>
        </row>
        <row r="180">
          <cell r="A180" t="str">
            <v>DESEMPENHO</v>
          </cell>
        </row>
        <row r="181">
          <cell r="A181" t="str">
            <v>Aquecido</v>
          </cell>
        </row>
        <row r="182">
          <cell r="A182" t="str">
            <v>Normal</v>
          </cell>
        </row>
        <row r="183">
          <cell r="A183" t="str">
            <v>Recessivo</v>
          </cell>
        </row>
        <row r="184">
          <cell r="A184" t="str">
            <v>LIQUIDEZ</v>
          </cell>
        </row>
        <row r="185">
          <cell r="A185" t="str">
            <v>Alta</v>
          </cell>
        </row>
        <row r="186">
          <cell r="A186" t="str">
            <v>Normal</v>
          </cell>
        </row>
        <row r="187">
          <cell r="A187" t="str">
            <v>Baixa</v>
          </cell>
        </row>
        <row r="188">
          <cell r="A188" t="str">
            <v>VELOCIDADE</v>
          </cell>
        </row>
        <row r="189">
          <cell r="A189" t="str">
            <v>Até 06 meses</v>
          </cell>
        </row>
        <row r="190">
          <cell r="A190" t="str">
            <v>De 06 a 12 meses</v>
          </cell>
        </row>
        <row r="191">
          <cell r="A191" t="str">
            <v>De 12 a 24 meses</v>
          </cell>
        </row>
        <row r="192">
          <cell r="A192" t="str">
            <v>Superior a 24 meses</v>
          </cell>
        </row>
        <row r="195">
          <cell r="A195" t="str">
            <v>METODOLOGIA</v>
          </cell>
        </row>
        <row r="196">
          <cell r="A196" t="str">
            <v>Método Comparativo Direto de Dados de Mercado - Inferência Estatística</v>
          </cell>
        </row>
        <row r="197">
          <cell r="A197" t="str">
            <v>Método Comparativo Direto de Dados de Mercado - Tratamento por Fatores</v>
          </cell>
        </row>
        <row r="198">
          <cell r="A198" t="str">
            <v>Método Evolutivo</v>
          </cell>
        </row>
        <row r="199">
          <cell r="A199" t="str">
            <v>Método Involutivo</v>
          </cell>
        </row>
        <row r="200">
          <cell r="A200" t="str">
            <v>Método da Capitalização da Renda</v>
          </cell>
        </row>
        <row r="201">
          <cell r="A201" t="str">
            <v>Método Comparativo Direto de Custo</v>
          </cell>
        </row>
        <row r="202">
          <cell r="A202" t="str">
            <v>Método da Quantificação do Custo</v>
          </cell>
        </row>
        <row r="203">
          <cell r="A203" t="str">
            <v>Sem Metodologia Definida por Norma</v>
          </cell>
        </row>
        <row r="206">
          <cell r="A206" t="str">
            <v>FUNDAMENTACAO_PRECISAO</v>
          </cell>
        </row>
        <row r="207">
          <cell r="A207" t="str">
            <v>Grau III</v>
          </cell>
        </row>
        <row r="208">
          <cell r="A208" t="str">
            <v>Grau II</v>
          </cell>
        </row>
        <row r="209">
          <cell r="A209" t="str">
            <v>Grau I</v>
          </cell>
        </row>
        <row r="210">
          <cell r="A210" t="str">
            <v>Sem Classificação</v>
          </cell>
        </row>
        <row r="214">
          <cell r="A214" t="str">
            <v>VALOR_UNIT_ADOTADO</v>
          </cell>
        </row>
        <row r="215">
          <cell r="A215" t="str">
            <v>Mínimo do Campo de Arbítrio</v>
          </cell>
        </row>
        <row r="216">
          <cell r="A216" t="str">
            <v>Limite Inferior do Intervalo de Confiança</v>
          </cell>
        </row>
        <row r="217">
          <cell r="A217" t="str">
            <v>Estimativa de Tendência Central</v>
          </cell>
        </row>
        <row r="218">
          <cell r="A218" t="str">
            <v>Limite Supferior do Intervalo de Confiança</v>
          </cell>
        </row>
        <row r="219">
          <cell r="A219" t="str">
            <v>Maximo do Campo de Arbítrio</v>
          </cell>
        </row>
      </sheetData>
      <sheetData sheetId="2">
        <row r="1">
          <cell r="A1" t="str">
            <v>PROFISSIONAIS</v>
          </cell>
        </row>
        <row r="2">
          <cell r="A2" t="str">
            <v>Anderson Fonseca Figueiredo</v>
          </cell>
        </row>
        <row r="3">
          <cell r="A3" t="str">
            <v>Claudia Godoy da Rocha Micchi</v>
          </cell>
        </row>
        <row r="4">
          <cell r="A4" t="str">
            <v>Flávia Pulcheri Ribeiro</v>
          </cell>
        </row>
        <row r="5">
          <cell r="A5" t="str">
            <v>Henrique Gonçalves Pereira</v>
          </cell>
        </row>
        <row r="6">
          <cell r="A6" t="str">
            <v>Ismênia Schaeffer Freitas</v>
          </cell>
        </row>
        <row r="7">
          <cell r="A7" t="str">
            <v>João Paulo Mello Teixeira</v>
          </cell>
        </row>
        <row r="8">
          <cell r="A8" t="str">
            <v>Louise Bussolotti</v>
          </cell>
        </row>
        <row r="9">
          <cell r="A9" t="str">
            <v>Luiz Fernando Bonfim</v>
          </cell>
        </row>
        <row r="10">
          <cell r="A10" t="str">
            <v>Rodolpho Torezani Netto</v>
          </cell>
        </row>
        <row r="11">
          <cell r="A11" t="str">
            <v>Terezinha de Jesus Servino Ribeiro Vanzo</v>
          </cell>
        </row>
        <row r="12">
          <cell r="A12" t="str">
            <v>Thomas Felipe Dieter</v>
          </cell>
        </row>
        <row r="13">
          <cell r="A13" t="str">
            <v>Leandro Azevedo Terrao</v>
          </cell>
        </row>
      </sheetData>
      <sheetData sheetId="3"/>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Planilha de Custo"/>
      <sheetName val="TOTAL"/>
      <sheetName val="(2,5 X1,5) PRIORIDADE 1 "/>
      <sheetName val="(2,5x1,5) PRIORIDADE 2 "/>
      <sheetName val="(2,5x1,5) PRIORIDADE 3 "/>
      <sheetName val="(1,5x1,5)"/>
      <sheetName val="Plan1"/>
      <sheetName val="BAIXO GUANDU ITAIMBE"/>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SERVIÇO"/>
      <sheetName val="ESPELHO  "/>
      <sheetName val="Plan1"/>
      <sheetName val="BASE 5E"/>
      <sheetName val="MEDICAO"/>
      <sheetName val="Planilha"/>
      <sheetName val="CAPA -1"/>
      <sheetName val="Replan"/>
      <sheetName val="Resum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e de Distribuição de Água"/>
      <sheetName val="Rede Distrib Águ (indice 06-06)"/>
      <sheetName val="Módulo1"/>
      <sheetName val="MEMORIAL"/>
      <sheetName val="Serviços Água"/>
      <sheetName val="Replan"/>
      <sheetName val="Resumo"/>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XLS"/>
      <sheetName val="OR960887"/>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C"/>
      <sheetName val="RPA Julho"/>
      <sheetName val="Valor Mediçao"/>
      <sheetName val="Med 1ª"/>
      <sheetName val="Med 2ª"/>
      <sheetName val="Med 3ª"/>
      <sheetName val="Desc. de materiais"/>
      <sheetName val="Materiais Betuminosos"/>
      <sheetName val="Qd05 Preço"/>
      <sheetName val="Qd06"/>
      <sheetName val="LOTE 6"/>
      <sheetName val="DG"/>
      <sheetName val="Dados"/>
      <sheetName val="Acumulado"/>
      <sheetName val="Orçamento"/>
      <sheetName val="QuQuant"/>
      <sheetName val="Orçamentária"/>
      <sheetName val="Plan1"/>
      <sheetName val="Plan2"/>
      <sheetName val="Plan3"/>
      <sheetName val="Principal"/>
      <sheetName val=""/>
      <sheetName val="BR-267_TR01"/>
      <sheetName val="BR-267_TR02"/>
      <sheetName val="BR-267_TR03"/>
      <sheetName val="BR-376"/>
      <sheetName val="BR-463"/>
      <sheetName val="BR-487"/>
      <sheetName val="RELATA VÉIO"/>
      <sheetName val="Mat"/>
      <sheetName val="CONS_CORR"/>
      <sheetName val="Mobra"/>
      <sheetName val="TLMB"/>
      <sheetName val="SERVIÇOS"/>
      <sheetName val="Micro Revest MAN"/>
      <sheetName val="Micro Revest REC 1ªMP"/>
      <sheetName val="REM.MEC MAT.BET.MAN"/>
      <sheetName val="TRANSPORTE REC"/>
      <sheetName val="alteração"/>
      <sheetName val="PGR"/>
      <sheetName val="[OR960887.XLS][OR960887.XLS][OR"/>
      <sheetName val="//localhost/@/DFBSA00535/dyna01"/>
      <sheetName val="SIIG 2010-Jun"/>
      <sheetName val="Tabsal-2.9"/>
      <sheetName val="\\DFBSA00535\dyna01\ClaudioFerr"/>
      <sheetName val="CUSTO LARANJEIRAS"/>
      <sheetName val="8ª MP_BR_459"/>
      <sheetName val="PLANILHA ATUALIZADA"/>
      <sheetName val="__localhost_@_DFBSA00535_dyna01"/>
      <sheetName val="Final"/>
      <sheetName val="Inicio"/>
      <sheetName val="Organiza"/>
      <sheetName val="page 1"/>
      <sheetName val="page 2"/>
      <sheetName val="page 3"/>
      <sheetName val="page 4"/>
      <sheetName val="page 5"/>
      <sheetName val="page 6"/>
      <sheetName val="page 7"/>
      <sheetName val="page 8"/>
      <sheetName val="SERVIÇOS CUSTO SICRO"/>
      <sheetName val="Equipamentos"/>
      <sheetName val="Materiais"/>
      <sheetName val="Mão de Obra"/>
      <sheetName val="Mapa Localização"/>
      <sheetName val="PATO"/>
      <sheetName val="Valeta"/>
      <sheetName val="Descida"/>
      <sheetName val="Meio-Fio"/>
      <sheetName val="Sarjeta"/>
      <sheetName val="Bueiro"/>
      <sheetName val="Plan.Preç.Unit."/>
      <sheetName val="QUANT E CUSTOS"/>
      <sheetName val="Transportes"/>
      <sheetName val="Referência"/>
      <sheetName val="Cronograma"/>
      <sheetName val="Grafico Dist. Transp"/>
      <sheetName val="Mobilização e Desmob"/>
      <sheetName val="Resumo Inventario"/>
      <sheetName val="Defensa Recompor"/>
      <sheetName val="Pintura Faixa"/>
      <sheetName val="Pintura Setas"/>
      <sheetName val="Tacha"/>
      <sheetName val="Sinalização"/>
      <sheetName val="Lay out canteiro"/>
      <sheetName val="Custo Canteiro"/>
      <sheetName val="Transp com c carroc rodov pav"/>
      <sheetName val="Aquis. CAP-50-70 MBUQ"/>
      <sheetName val="Transp. CAP-50-70 MBUQ"/>
      <sheetName val="Aquis. RR-1C Remendo"/>
      <sheetName val="Transp. RR-1C Remendo"/>
      <sheetName val="Aquis. RR-1C Tapa Buraco"/>
      <sheetName val="Trans. RR-1C Tapa Buraco"/>
      <sheetName val="Aquis. RR-1C Correção"/>
      <sheetName val="Trans. RR-1C Correção"/>
      <sheetName val="E011"/>
      <sheetName val="E016"/>
      <sheetName val="E400"/>
      <sheetName val="E408"/>
      <sheetName val="[OR960887.XLS]//localhost/@/DFB"/>
      <sheetName val="Teor"/>
      <sheetName val="comp1"/>
      <sheetName val="Estimativa"/>
      <sheetName val="P1Q2"/>
    </sheetNames>
    <definedNames>
      <definedName name="PassaExtenso"/>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entaçao Terraplenagem"/>
    </sheetNames>
    <sheetDataSet>
      <sheetData sheetId="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entaçao Terraplenagem"/>
    </sheetNames>
    <sheetDataSet>
      <sheetData sheetId="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SERVIÇO "/>
      <sheetName val="MATERIAL"/>
      <sheetName val="COMPOSIÇÃO"/>
      <sheetName val="Planilha"/>
      <sheetName val="Replan"/>
      <sheetName val="Resumo"/>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ço"/>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composições"/>
      <sheetName val="fornecedores"/>
      <sheetName val="MAT"/>
      <sheetName val="Cronograma"/>
      <sheetName val="Listagem"/>
      <sheetName val="Plan1"/>
      <sheetName val="a.2- resumo"/>
      <sheetName val="16-equip."/>
      <sheetName val="17-moi"/>
    </sheetNames>
    <sheetDataSet>
      <sheetData sheetId="0"/>
      <sheetData sheetId="1"/>
      <sheetData sheetId="2"/>
      <sheetData sheetId="3">
        <row r="3">
          <cell r="A3">
            <v>1000</v>
          </cell>
          <cell r="B3" t="str">
            <v>MÃO DE OBRA ASSALARIADA</v>
          </cell>
        </row>
        <row r="4">
          <cell r="A4">
            <v>101</v>
          </cell>
          <cell r="B4" t="str">
            <v>Pedreiro</v>
          </cell>
          <cell r="C4" t="str">
            <v>h</v>
          </cell>
          <cell r="D4">
            <v>2.004</v>
          </cell>
          <cell r="E4">
            <v>1.67</v>
          </cell>
        </row>
        <row r="5">
          <cell r="A5">
            <v>102</v>
          </cell>
          <cell r="B5" t="str">
            <v>Servente</v>
          </cell>
          <cell r="C5" t="str">
            <v>h</v>
          </cell>
          <cell r="D5">
            <v>1.296</v>
          </cell>
          <cell r="E5">
            <v>1.08</v>
          </cell>
        </row>
        <row r="6">
          <cell r="A6">
            <v>103</v>
          </cell>
          <cell r="B6" t="str">
            <v>Carpinteiro</v>
          </cell>
          <cell r="C6" t="str">
            <v>h</v>
          </cell>
          <cell r="D6">
            <v>2.004</v>
          </cell>
          <cell r="E6">
            <v>1.67</v>
          </cell>
        </row>
        <row r="7">
          <cell r="A7">
            <v>104</v>
          </cell>
          <cell r="B7" t="str">
            <v>Bombeiro</v>
          </cell>
          <cell r="C7" t="str">
            <v>h</v>
          </cell>
          <cell r="D7">
            <v>2.004</v>
          </cell>
          <cell r="E7">
            <v>1.67</v>
          </cell>
        </row>
        <row r="8">
          <cell r="A8">
            <v>105</v>
          </cell>
          <cell r="B8" t="str">
            <v>Eletricista</v>
          </cell>
          <cell r="C8" t="str">
            <v>h</v>
          </cell>
          <cell r="D8">
            <v>2.004</v>
          </cell>
          <cell r="E8">
            <v>1.67</v>
          </cell>
        </row>
        <row r="9">
          <cell r="A9">
            <v>106</v>
          </cell>
          <cell r="B9" t="str">
            <v>Armador</v>
          </cell>
          <cell r="C9" t="str">
            <v>kg</v>
          </cell>
          <cell r="D9">
            <v>0.36</v>
          </cell>
          <cell r="E9">
            <v>0.3</v>
          </cell>
        </row>
        <row r="10">
          <cell r="A10">
            <v>107</v>
          </cell>
          <cell r="B10" t="str">
            <v>Maquinista</v>
          </cell>
          <cell r="C10" t="str">
            <v>h</v>
          </cell>
          <cell r="D10">
            <v>1.776</v>
          </cell>
          <cell r="E10">
            <v>1.48</v>
          </cell>
        </row>
        <row r="11">
          <cell r="A11">
            <v>108</v>
          </cell>
          <cell r="B11" t="str">
            <v>Montador</v>
          </cell>
          <cell r="C11" t="str">
            <v>h</v>
          </cell>
          <cell r="D11">
            <v>1.776</v>
          </cell>
          <cell r="E11">
            <v>1.48</v>
          </cell>
        </row>
        <row r="12">
          <cell r="A12">
            <v>109</v>
          </cell>
          <cell r="B12" t="str">
            <v>Ferreiro</v>
          </cell>
          <cell r="C12" t="str">
            <v>h</v>
          </cell>
          <cell r="D12">
            <v>1.776</v>
          </cell>
          <cell r="E12">
            <v>1.48</v>
          </cell>
        </row>
        <row r="13">
          <cell r="A13">
            <v>110</v>
          </cell>
          <cell r="B13" t="str">
            <v>Ajudante</v>
          </cell>
          <cell r="C13" t="str">
            <v>h</v>
          </cell>
          <cell r="D13">
            <v>1.296</v>
          </cell>
          <cell r="E13">
            <v>1.08</v>
          </cell>
        </row>
        <row r="14">
          <cell r="A14">
            <v>111</v>
          </cell>
          <cell r="B14" t="str">
            <v>Pintor</v>
          </cell>
          <cell r="C14" t="str">
            <v>h</v>
          </cell>
          <cell r="D14">
            <v>1.9320000000000002</v>
          </cell>
          <cell r="E14">
            <v>1.61</v>
          </cell>
        </row>
        <row r="15">
          <cell r="A15">
            <v>112</v>
          </cell>
          <cell r="B15" t="str">
            <v>Telhadista</v>
          </cell>
          <cell r="C15" t="str">
            <v>h</v>
          </cell>
          <cell r="D15">
            <v>2.004</v>
          </cell>
          <cell r="E15">
            <v>1.67</v>
          </cell>
        </row>
        <row r="17">
          <cell r="A17">
            <v>1500</v>
          </cell>
          <cell r="B17" t="str">
            <v>MÃO DE OBRA EMPREITADA</v>
          </cell>
        </row>
        <row r="18">
          <cell r="A18">
            <v>150</v>
          </cell>
          <cell r="B18" t="str">
            <v>Empreitada alvenaria</v>
          </cell>
          <cell r="C18" t="str">
            <v>m2</v>
          </cell>
          <cell r="D18">
            <v>3</v>
          </cell>
          <cell r="E18">
            <v>2</v>
          </cell>
        </row>
        <row r="19">
          <cell r="A19">
            <v>152</v>
          </cell>
          <cell r="B19" t="str">
            <v>Empreitada chapisco interno</v>
          </cell>
          <cell r="C19" t="str">
            <v>m2</v>
          </cell>
          <cell r="D19">
            <v>0.84</v>
          </cell>
          <cell r="E19">
            <v>0.77</v>
          </cell>
        </row>
        <row r="20">
          <cell r="A20">
            <v>154</v>
          </cell>
          <cell r="B20" t="str">
            <v>Empreitada chapisco no jaú</v>
          </cell>
          <cell r="C20" t="str">
            <v>m2</v>
          </cell>
          <cell r="D20">
            <v>0.96000000000000008</v>
          </cell>
          <cell r="E20">
            <v>0.88000000000000012</v>
          </cell>
        </row>
        <row r="21">
          <cell r="A21">
            <v>155</v>
          </cell>
          <cell r="B21" t="str">
            <v>Empreiteiro assentamento de pisos c/ encargos</v>
          </cell>
          <cell r="C21" t="str">
            <v>m2</v>
          </cell>
          <cell r="D21">
            <v>7.2</v>
          </cell>
          <cell r="E21">
            <v>6.6000000000000005</v>
          </cell>
        </row>
        <row r="22">
          <cell r="A22">
            <v>156</v>
          </cell>
          <cell r="B22" t="str">
            <v>Empreitada emboço interno</v>
          </cell>
          <cell r="C22" t="str">
            <v>m2</v>
          </cell>
          <cell r="D22">
            <v>2.4</v>
          </cell>
          <cell r="E22">
            <v>2.2000000000000002</v>
          </cell>
        </row>
        <row r="23">
          <cell r="A23">
            <v>158</v>
          </cell>
          <cell r="B23" t="str">
            <v>Empreitada emboço e chapisco no jaú</v>
          </cell>
          <cell r="C23" t="str">
            <v>m2</v>
          </cell>
          <cell r="D23">
            <v>6</v>
          </cell>
          <cell r="E23">
            <v>5.5</v>
          </cell>
        </row>
        <row r="24">
          <cell r="A24">
            <v>160</v>
          </cell>
          <cell r="B24" t="str">
            <v>Empreitada contrapiso</v>
          </cell>
          <cell r="C24" t="str">
            <v>m2</v>
          </cell>
          <cell r="D24">
            <v>3</v>
          </cell>
          <cell r="E24">
            <v>2.75</v>
          </cell>
        </row>
        <row r="25">
          <cell r="A25">
            <v>162</v>
          </cell>
          <cell r="B25" t="str">
            <v>Empreitada pisos cerâmicos</v>
          </cell>
          <cell r="C25" t="str">
            <v>m2</v>
          </cell>
          <cell r="D25">
            <v>4.8</v>
          </cell>
          <cell r="E25">
            <v>4.4000000000000004</v>
          </cell>
        </row>
        <row r="26">
          <cell r="A26">
            <v>164</v>
          </cell>
          <cell r="B26" t="str">
            <v>Empreitada revestimentos paredes internas</v>
          </cell>
          <cell r="C26" t="str">
            <v>m2</v>
          </cell>
          <cell r="D26">
            <v>4.8</v>
          </cell>
          <cell r="E26">
            <v>4.4000000000000004</v>
          </cell>
        </row>
        <row r="27">
          <cell r="A27">
            <v>166</v>
          </cell>
          <cell r="B27" t="str">
            <v>Empreitada assentamento de aduelas</v>
          </cell>
          <cell r="C27" t="str">
            <v>unid.</v>
          </cell>
          <cell r="D27">
            <v>7.2</v>
          </cell>
          <cell r="E27">
            <v>6.6000000000000005</v>
          </cell>
        </row>
        <row r="28">
          <cell r="A28">
            <v>167</v>
          </cell>
          <cell r="B28" t="str">
            <v>Empreitada assentamento de esquadria de madeira</v>
          </cell>
          <cell r="C28" t="str">
            <v>unid.</v>
          </cell>
          <cell r="D28">
            <v>12</v>
          </cell>
          <cell r="E28">
            <v>11</v>
          </cell>
        </row>
        <row r="29">
          <cell r="A29">
            <v>168</v>
          </cell>
          <cell r="B29" t="str">
            <v>Empreitada pisos de granito/mármore/ardósia</v>
          </cell>
          <cell r="C29" t="str">
            <v>m2</v>
          </cell>
          <cell r="D29">
            <v>9.6</v>
          </cell>
          <cell r="E29">
            <v>8.8000000000000007</v>
          </cell>
        </row>
        <row r="30">
          <cell r="A30">
            <v>169</v>
          </cell>
          <cell r="B30" t="str">
            <v>Empreitada revestimento externo cerâmica 10x10</v>
          </cell>
          <cell r="C30" t="str">
            <v>m2</v>
          </cell>
          <cell r="D30">
            <v>6</v>
          </cell>
          <cell r="E30">
            <v>5.5</v>
          </cell>
        </row>
        <row r="31">
          <cell r="A31">
            <v>170</v>
          </cell>
          <cell r="B31" t="str">
            <v>Empreitada revestimento externo granito</v>
          </cell>
          <cell r="C31" t="str">
            <v>m2</v>
          </cell>
          <cell r="D31">
            <v>14.4</v>
          </cell>
          <cell r="E31">
            <v>13.200000000000001</v>
          </cell>
        </row>
        <row r="32">
          <cell r="A32">
            <v>171</v>
          </cell>
          <cell r="B32" t="str">
            <v>Empreitada assentamento de soleira ou chapim em granito</v>
          </cell>
          <cell r="C32" t="str">
            <v>ml</v>
          </cell>
          <cell r="D32">
            <v>6</v>
          </cell>
          <cell r="E32">
            <v>5.5</v>
          </cell>
        </row>
        <row r="33">
          <cell r="A33">
            <v>180</v>
          </cell>
          <cell r="B33" t="str">
            <v>Empreitada pintura de paredes internas 2 demãos</v>
          </cell>
          <cell r="C33" t="str">
            <v>m2</v>
          </cell>
          <cell r="D33">
            <v>3.6</v>
          </cell>
          <cell r="E33">
            <v>3.3000000000000003</v>
          </cell>
        </row>
        <row r="36">
          <cell r="A36">
            <v>199</v>
          </cell>
          <cell r="B36" t="str">
            <v>Leis Sociais = 125,8% sobre mão-de-obra</v>
          </cell>
          <cell r="D36">
            <v>1.2060440000000001</v>
          </cell>
          <cell r="E36">
            <v>1.2060440000000001</v>
          </cell>
        </row>
        <row r="38">
          <cell r="A38">
            <v>2000</v>
          </cell>
          <cell r="B38" t="str">
            <v>INSUMOS BÁSICOS</v>
          </cell>
        </row>
        <row r="40">
          <cell r="A40">
            <v>201</v>
          </cell>
          <cell r="B40" t="str">
            <v>Cimento</v>
          </cell>
          <cell r="C40" t="str">
            <v>kg</v>
          </cell>
          <cell r="D40">
            <v>0.3</v>
          </cell>
          <cell r="E40">
            <v>0.27500000000000002</v>
          </cell>
        </row>
        <row r="41">
          <cell r="A41">
            <v>202</v>
          </cell>
          <cell r="B41" t="str">
            <v>Areia úmida</v>
          </cell>
          <cell r="C41" t="str">
            <v>m3</v>
          </cell>
          <cell r="D41">
            <v>0</v>
          </cell>
          <cell r="E41">
            <v>0</v>
          </cell>
        </row>
        <row r="42">
          <cell r="A42">
            <v>203</v>
          </cell>
          <cell r="B42" t="str">
            <v>Brita 1/2</v>
          </cell>
          <cell r="C42" t="str">
            <v>m3</v>
          </cell>
          <cell r="D42">
            <v>24</v>
          </cell>
          <cell r="E42">
            <v>22</v>
          </cell>
        </row>
        <row r="43">
          <cell r="A43">
            <v>204</v>
          </cell>
          <cell r="B43" t="str">
            <v>Cal virgem em pó</v>
          </cell>
          <cell r="C43" t="str">
            <v>kg</v>
          </cell>
          <cell r="D43">
            <v>0.12000000000000001</v>
          </cell>
          <cell r="E43">
            <v>0.11000000000000001</v>
          </cell>
        </row>
        <row r="44">
          <cell r="A44">
            <v>205</v>
          </cell>
          <cell r="B44" t="str">
            <v>Cal hidratada</v>
          </cell>
          <cell r="C44" t="str">
            <v>kg</v>
          </cell>
          <cell r="D44">
            <v>0.18</v>
          </cell>
          <cell r="E44">
            <v>0.16500000000000001</v>
          </cell>
        </row>
        <row r="45">
          <cell r="A45">
            <v>206</v>
          </cell>
          <cell r="B45" t="str">
            <v>Impermeabilizante Vedacit</v>
          </cell>
          <cell r="C45" t="str">
            <v>l</v>
          </cell>
          <cell r="D45">
            <v>2.0533333333333337</v>
          </cell>
          <cell r="E45">
            <v>1.8822222222222225</v>
          </cell>
        </row>
        <row r="46">
          <cell r="A46">
            <v>207</v>
          </cell>
          <cell r="B46" t="str">
            <v>Cimentcola Quartzolit</v>
          </cell>
          <cell r="C46" t="str">
            <v>kg</v>
          </cell>
          <cell r="D46">
            <v>0.372</v>
          </cell>
          <cell r="E46">
            <v>0.34100000000000003</v>
          </cell>
        </row>
        <row r="47">
          <cell r="A47">
            <v>208</v>
          </cell>
          <cell r="B47" t="str">
            <v>Supercimentcola Quarzolite</v>
          </cell>
          <cell r="C47" t="str">
            <v>kg</v>
          </cell>
          <cell r="D47">
            <v>0.75600000000000001</v>
          </cell>
          <cell r="E47">
            <v>0.69300000000000006</v>
          </cell>
        </row>
        <row r="48">
          <cell r="A48">
            <v>209</v>
          </cell>
          <cell r="B48" t="str">
            <v>Cimento branco</v>
          </cell>
          <cell r="C48" t="str">
            <v>kg</v>
          </cell>
          <cell r="D48">
            <v>1.56</v>
          </cell>
          <cell r="E48">
            <v>1.4300000000000002</v>
          </cell>
        </row>
        <row r="49">
          <cell r="A49">
            <v>210</v>
          </cell>
          <cell r="B49" t="str">
            <v>Prego 18x24</v>
          </cell>
          <cell r="C49" t="str">
            <v>kg</v>
          </cell>
          <cell r="D49">
            <v>2.64</v>
          </cell>
          <cell r="E49">
            <v>2.4200000000000004</v>
          </cell>
        </row>
        <row r="50">
          <cell r="A50">
            <v>211</v>
          </cell>
          <cell r="B50" t="str">
            <v>tábua de pinho 1x12"</v>
          </cell>
          <cell r="C50" t="str">
            <v>m2</v>
          </cell>
          <cell r="D50">
            <v>8.16</v>
          </cell>
          <cell r="E50">
            <v>7.48</v>
          </cell>
        </row>
        <row r="51">
          <cell r="A51">
            <v>212</v>
          </cell>
          <cell r="B51" t="str">
            <v>tábua de pinho 1x9"</v>
          </cell>
          <cell r="C51" t="str">
            <v>m2</v>
          </cell>
          <cell r="D51">
            <v>8.16</v>
          </cell>
          <cell r="E51">
            <v>7.48</v>
          </cell>
        </row>
        <row r="52">
          <cell r="A52">
            <v>213</v>
          </cell>
          <cell r="B52" t="str">
            <v>Sarrafo de pinho 10x2,5cm</v>
          </cell>
          <cell r="C52" t="str">
            <v>m</v>
          </cell>
          <cell r="D52">
            <v>1.02</v>
          </cell>
          <cell r="E52">
            <v>0.93500000000000005</v>
          </cell>
        </row>
        <row r="53">
          <cell r="A53">
            <v>214</v>
          </cell>
          <cell r="B53" t="str">
            <v>pontalete de pinho 3x3"</v>
          </cell>
          <cell r="C53" t="str">
            <v>m</v>
          </cell>
          <cell r="D53">
            <v>1.8</v>
          </cell>
          <cell r="E53">
            <v>1.6500000000000001</v>
          </cell>
        </row>
        <row r="54">
          <cell r="A54">
            <v>215</v>
          </cell>
          <cell r="B54" t="str">
            <v>Viga de peroba 6x12cm</v>
          </cell>
          <cell r="C54" t="str">
            <v>m</v>
          </cell>
          <cell r="D54">
            <v>4.5599999999999996</v>
          </cell>
          <cell r="E54">
            <v>4.18</v>
          </cell>
        </row>
        <row r="55">
          <cell r="A55">
            <v>216</v>
          </cell>
          <cell r="B55" t="str">
            <v>Chapa de compensado resinado 10mm</v>
          </cell>
          <cell r="C55" t="str">
            <v>m2</v>
          </cell>
          <cell r="D55">
            <v>18</v>
          </cell>
          <cell r="E55">
            <v>16.5</v>
          </cell>
        </row>
        <row r="56">
          <cell r="A56">
            <v>217</v>
          </cell>
          <cell r="B56" t="str">
            <v>Madeira</v>
          </cell>
          <cell r="C56" t="str">
            <v>m3</v>
          </cell>
          <cell r="D56">
            <v>300</v>
          </cell>
          <cell r="E56">
            <v>275</v>
          </cell>
        </row>
        <row r="57">
          <cell r="A57">
            <v>218</v>
          </cell>
          <cell r="B57" t="str">
            <v>Chumbador 3/8"</v>
          </cell>
          <cell r="C57" t="str">
            <v>un</v>
          </cell>
          <cell r="D57">
            <v>0.24000000000000002</v>
          </cell>
          <cell r="E57">
            <v>0.22000000000000003</v>
          </cell>
        </row>
        <row r="58">
          <cell r="A58">
            <v>219</v>
          </cell>
          <cell r="B58" t="str">
            <v>Aço CA-50 12,5mm</v>
          </cell>
          <cell r="C58" t="str">
            <v>kg</v>
          </cell>
          <cell r="D58">
            <v>1.8720000000000001</v>
          </cell>
          <cell r="E58">
            <v>1.7160000000000002</v>
          </cell>
        </row>
        <row r="59">
          <cell r="A59">
            <v>220</v>
          </cell>
          <cell r="B59" t="str">
            <v>Aço CA-50 10mm</v>
          </cell>
          <cell r="C59" t="str">
            <v>kg</v>
          </cell>
          <cell r="D59">
            <v>1.7412698412698413</v>
          </cell>
          <cell r="E59">
            <v>1.5961640211640213</v>
          </cell>
        </row>
        <row r="60">
          <cell r="A60">
            <v>221</v>
          </cell>
          <cell r="B60" t="str">
            <v>Aço CA-50 8mm</v>
          </cell>
          <cell r="C60" t="str">
            <v>kg</v>
          </cell>
          <cell r="D60">
            <v>1.875</v>
          </cell>
          <cell r="E60">
            <v>1.7187500000000002</v>
          </cell>
        </row>
        <row r="61">
          <cell r="A61">
            <v>222</v>
          </cell>
          <cell r="B61" t="str">
            <v>Aço CA-50 6,3mm</v>
          </cell>
          <cell r="C61" t="str">
            <v>kg</v>
          </cell>
          <cell r="D61">
            <v>1.8720000000000001</v>
          </cell>
          <cell r="E61">
            <v>1.7160000000000002</v>
          </cell>
        </row>
        <row r="62">
          <cell r="A62">
            <v>223</v>
          </cell>
          <cell r="B62" t="str">
            <v>Aço CA-50 5mm</v>
          </cell>
          <cell r="C62" t="str">
            <v>kg</v>
          </cell>
          <cell r="D62">
            <v>1.875</v>
          </cell>
          <cell r="E62">
            <v>1.7187500000000002</v>
          </cell>
        </row>
        <row r="63">
          <cell r="A63">
            <v>224</v>
          </cell>
          <cell r="B63" t="str">
            <v>Aço CA-50 4,2mm</v>
          </cell>
          <cell r="C63" t="str">
            <v>kg</v>
          </cell>
          <cell r="D63">
            <v>2.0793893129770993</v>
          </cell>
          <cell r="E63">
            <v>1.9061068702290076</v>
          </cell>
        </row>
        <row r="64">
          <cell r="A64">
            <v>225</v>
          </cell>
          <cell r="B64" t="str">
            <v>Aço CA-60 4,2mm</v>
          </cell>
          <cell r="C64" t="str">
            <v>kg</v>
          </cell>
          <cell r="D64">
            <v>2.0793893129770993</v>
          </cell>
          <cell r="E64">
            <v>1.9061068702290076</v>
          </cell>
        </row>
        <row r="65">
          <cell r="A65">
            <v>226</v>
          </cell>
          <cell r="B65" t="str">
            <v>Arame galvanizado</v>
          </cell>
          <cell r="C65" t="str">
            <v>kg</v>
          </cell>
          <cell r="D65">
            <v>1.9200000000000002</v>
          </cell>
          <cell r="E65">
            <v>1.7600000000000002</v>
          </cell>
        </row>
        <row r="66">
          <cell r="A66">
            <v>227</v>
          </cell>
          <cell r="B66" t="str">
            <v>Arame recozido</v>
          </cell>
          <cell r="C66" t="str">
            <v>kg</v>
          </cell>
          <cell r="D66">
            <v>3.6</v>
          </cell>
          <cell r="E66">
            <v>3.3000000000000003</v>
          </cell>
        </row>
        <row r="67">
          <cell r="A67">
            <v>230</v>
          </cell>
          <cell r="B67" t="str">
            <v>Tijolo 9x19x28</v>
          </cell>
          <cell r="C67" t="str">
            <v>un</v>
          </cell>
          <cell r="D67">
            <v>0.18</v>
          </cell>
          <cell r="E67">
            <v>0.16500000000000001</v>
          </cell>
        </row>
        <row r="68">
          <cell r="A68">
            <v>231</v>
          </cell>
          <cell r="B68" t="str">
            <v>Tijolo 09x19x19</v>
          </cell>
          <cell r="C68" t="str">
            <v>un</v>
          </cell>
          <cell r="D68">
            <v>0.156</v>
          </cell>
          <cell r="E68">
            <v>0.14300000000000002</v>
          </cell>
        </row>
        <row r="69">
          <cell r="A69">
            <v>232</v>
          </cell>
          <cell r="B69" t="str">
            <v>Tijolo de barro maciço</v>
          </cell>
          <cell r="C69" t="str">
            <v>un</v>
          </cell>
          <cell r="D69">
            <v>0.26400000000000001</v>
          </cell>
          <cell r="E69">
            <v>0.24200000000000002</v>
          </cell>
        </row>
        <row r="70">
          <cell r="A70">
            <v>233</v>
          </cell>
          <cell r="B70" t="str">
            <v>Elemento vazado tipo cobogó</v>
          </cell>
          <cell r="C70" t="str">
            <v>un</v>
          </cell>
          <cell r="D70">
            <v>0.88800000000000001</v>
          </cell>
          <cell r="E70">
            <v>0.81400000000000006</v>
          </cell>
        </row>
        <row r="71">
          <cell r="A71">
            <v>234</v>
          </cell>
          <cell r="B71" t="str">
            <v>Bloco de concreto 10x20x40</v>
          </cell>
          <cell r="C71" t="str">
            <v>un</v>
          </cell>
          <cell r="D71">
            <v>0.42</v>
          </cell>
          <cell r="E71">
            <v>0.38500000000000001</v>
          </cell>
        </row>
        <row r="72">
          <cell r="A72">
            <v>235</v>
          </cell>
          <cell r="B72" t="str">
            <v>Bloco de concreto 15x20x40</v>
          </cell>
          <cell r="C72" t="str">
            <v>un</v>
          </cell>
          <cell r="D72">
            <v>0.6</v>
          </cell>
          <cell r="E72">
            <v>0.55000000000000004</v>
          </cell>
        </row>
        <row r="73">
          <cell r="A73">
            <v>236</v>
          </cell>
          <cell r="B73" t="str">
            <v>Rejunte Quartizolit para revestimento cerâmico</v>
          </cell>
          <cell r="C73" t="str">
            <v>kg</v>
          </cell>
          <cell r="D73">
            <v>1.6320000000000001</v>
          </cell>
          <cell r="E73">
            <v>1.4960000000000002</v>
          </cell>
        </row>
        <row r="74">
          <cell r="A74">
            <v>238</v>
          </cell>
          <cell r="B74" t="str">
            <v>Laje pré-fabricada e=10cm</v>
          </cell>
          <cell r="C74" t="str">
            <v>m2</v>
          </cell>
          <cell r="D74">
            <v>7.2</v>
          </cell>
          <cell r="E74">
            <v>6.6000000000000005</v>
          </cell>
        </row>
        <row r="75">
          <cell r="A75">
            <v>240</v>
          </cell>
          <cell r="B75" t="str">
            <v>Desmoldante para formas</v>
          </cell>
          <cell r="C75" t="str">
            <v>l</v>
          </cell>
          <cell r="D75">
            <v>3.9</v>
          </cell>
          <cell r="E75">
            <v>3.5750000000000002</v>
          </cell>
        </row>
        <row r="76">
          <cell r="A76">
            <v>242</v>
          </cell>
          <cell r="B76" t="str">
            <v>Formas metálicas aluguel</v>
          </cell>
          <cell r="C76" t="str">
            <v>m2</v>
          </cell>
          <cell r="D76">
            <v>0</v>
          </cell>
          <cell r="E76">
            <v>0</v>
          </cell>
        </row>
        <row r="77">
          <cell r="A77">
            <v>244</v>
          </cell>
          <cell r="B77" t="str">
            <v>Escora de eucalipto 3m</v>
          </cell>
          <cell r="C77" t="str">
            <v>un</v>
          </cell>
          <cell r="D77">
            <v>1.2</v>
          </cell>
          <cell r="E77">
            <v>1.1000000000000001</v>
          </cell>
        </row>
        <row r="78">
          <cell r="A78">
            <v>245</v>
          </cell>
          <cell r="B78" t="str">
            <v>Chapa zincada no. 26</v>
          </cell>
          <cell r="C78" t="str">
            <v>chapa</v>
          </cell>
          <cell r="D78">
            <v>15.6</v>
          </cell>
          <cell r="E78">
            <v>14.3</v>
          </cell>
        </row>
        <row r="79">
          <cell r="A79">
            <v>246</v>
          </cell>
          <cell r="B79" t="str">
            <v>Chapa de compensado resinado 12mm</v>
          </cell>
          <cell r="C79" t="str">
            <v>m2</v>
          </cell>
          <cell r="D79">
            <v>9.1320000000000014</v>
          </cell>
          <cell r="E79">
            <v>8.3710000000000004</v>
          </cell>
        </row>
        <row r="80">
          <cell r="A80">
            <v>247</v>
          </cell>
          <cell r="B80" t="str">
            <v>Chapa de compensado resinado 14mm</v>
          </cell>
          <cell r="C80" t="str">
            <v>m2</v>
          </cell>
          <cell r="D80">
            <v>10.404</v>
          </cell>
          <cell r="E80">
            <v>9.5370000000000008</v>
          </cell>
        </row>
        <row r="81">
          <cell r="A81">
            <v>248</v>
          </cell>
          <cell r="B81" t="str">
            <v>Chapa de compensado resinado 12mm</v>
          </cell>
          <cell r="C81" t="str">
            <v>chapa</v>
          </cell>
          <cell r="D81">
            <v>16.2</v>
          </cell>
          <cell r="E81">
            <v>14.850000000000001</v>
          </cell>
        </row>
        <row r="82">
          <cell r="A82">
            <v>249</v>
          </cell>
          <cell r="B82" t="str">
            <v>Chapa de compensado resinado 14mm</v>
          </cell>
          <cell r="C82" t="str">
            <v>chapa</v>
          </cell>
          <cell r="D82">
            <v>31.2</v>
          </cell>
          <cell r="E82">
            <v>28.6</v>
          </cell>
        </row>
        <row r="83">
          <cell r="A83">
            <v>250</v>
          </cell>
          <cell r="B83" t="str">
            <v>Chapa de compensado resinado 10mm</v>
          </cell>
          <cell r="C83" t="str">
            <v>m2</v>
          </cell>
          <cell r="D83">
            <v>7.6859504132231411</v>
          </cell>
          <cell r="E83">
            <v>7.0454545454545459</v>
          </cell>
        </row>
        <row r="84">
          <cell r="A84">
            <v>251</v>
          </cell>
          <cell r="B84" t="str">
            <v>Chapa de compensado resinado 10mm</v>
          </cell>
          <cell r="C84" t="str">
            <v>chapa</v>
          </cell>
          <cell r="D84">
            <v>18.600000000000001</v>
          </cell>
          <cell r="E84">
            <v>17.05</v>
          </cell>
        </row>
        <row r="85">
          <cell r="A85">
            <v>252</v>
          </cell>
          <cell r="B85" t="str">
            <v>Areia média</v>
          </cell>
          <cell r="C85" t="str">
            <v>m3</v>
          </cell>
          <cell r="D85">
            <v>27.6</v>
          </cell>
          <cell r="E85">
            <v>25.3</v>
          </cell>
        </row>
        <row r="86">
          <cell r="A86">
            <v>253</v>
          </cell>
          <cell r="B86" t="str">
            <v>Brita 3/4</v>
          </cell>
          <cell r="C86" t="str">
            <v>m3</v>
          </cell>
          <cell r="D86">
            <v>27.6</v>
          </cell>
          <cell r="E86">
            <v>25.3</v>
          </cell>
        </row>
        <row r="87">
          <cell r="A87">
            <v>254</v>
          </cell>
          <cell r="B87" t="str">
            <v>Pedra de mão</v>
          </cell>
          <cell r="C87" t="str">
            <v>m3</v>
          </cell>
          <cell r="D87">
            <v>2.52</v>
          </cell>
          <cell r="E87">
            <v>2.3100000000000005</v>
          </cell>
        </row>
        <row r="88">
          <cell r="A88">
            <v>261</v>
          </cell>
          <cell r="B88" t="str">
            <v>tábua de pinho 1x12"</v>
          </cell>
          <cell r="C88" t="str">
            <v>m</v>
          </cell>
          <cell r="D88">
            <v>1.26</v>
          </cell>
          <cell r="E88">
            <v>1.1550000000000002</v>
          </cell>
        </row>
        <row r="89">
          <cell r="A89">
            <v>262</v>
          </cell>
          <cell r="B89" t="str">
            <v>tábua de pinho 1x15cm</v>
          </cell>
          <cell r="C89" t="str">
            <v>m</v>
          </cell>
          <cell r="D89">
            <v>13.44</v>
          </cell>
          <cell r="E89">
            <v>12.32</v>
          </cell>
        </row>
        <row r="90">
          <cell r="A90">
            <v>264</v>
          </cell>
          <cell r="B90" t="str">
            <v>Lambrí de Peroba mica 10x1</v>
          </cell>
          <cell r="C90" t="str">
            <v>m2</v>
          </cell>
          <cell r="D90">
            <v>4.8</v>
          </cell>
          <cell r="E90">
            <v>4.4000000000000004</v>
          </cell>
        </row>
        <row r="91">
          <cell r="A91">
            <v>266</v>
          </cell>
          <cell r="B91" t="str">
            <v>Placas de gesso pré-fabricadas 60x60</v>
          </cell>
          <cell r="C91" t="str">
            <v>m2</v>
          </cell>
          <cell r="D91">
            <v>0.24000000000000002</v>
          </cell>
          <cell r="E91">
            <v>0.22000000000000003</v>
          </cell>
        </row>
        <row r="92">
          <cell r="A92">
            <v>267</v>
          </cell>
          <cell r="B92" t="str">
            <v>Gesso em pó</v>
          </cell>
          <cell r="C92" t="str">
            <v>kg</v>
          </cell>
          <cell r="D92">
            <v>5.6400000000000006</v>
          </cell>
          <cell r="E92">
            <v>5.1700000000000008</v>
          </cell>
        </row>
        <row r="93">
          <cell r="A93">
            <v>270</v>
          </cell>
          <cell r="B93" t="str">
            <v>Soda cáustica</v>
          </cell>
          <cell r="C93" t="str">
            <v>kg</v>
          </cell>
          <cell r="D93">
            <v>2.16</v>
          </cell>
          <cell r="E93">
            <v>1.9800000000000002</v>
          </cell>
        </row>
        <row r="94">
          <cell r="A94">
            <v>271</v>
          </cell>
          <cell r="B94" t="str">
            <v>Ácido muriático</v>
          </cell>
          <cell r="C94" t="str">
            <v>l</v>
          </cell>
          <cell r="D94">
            <v>3.8999999999999995</v>
          </cell>
          <cell r="E94">
            <v>3.5749999999999997</v>
          </cell>
        </row>
        <row r="95">
          <cell r="A95">
            <v>272</v>
          </cell>
          <cell r="B95" t="str">
            <v>Aguarráz mineral</v>
          </cell>
          <cell r="C95" t="str">
            <v>l</v>
          </cell>
          <cell r="D95">
            <v>0.24000000000000002</v>
          </cell>
          <cell r="E95">
            <v>0.22000000000000003</v>
          </cell>
        </row>
        <row r="96">
          <cell r="A96">
            <v>274</v>
          </cell>
          <cell r="B96" t="str">
            <v>Lixa nº120 para pintura</v>
          </cell>
          <cell r="C96" t="str">
            <v>un</v>
          </cell>
          <cell r="D96">
            <v>1.2</v>
          </cell>
          <cell r="E96">
            <v>1.1000000000000001</v>
          </cell>
        </row>
        <row r="97">
          <cell r="A97">
            <v>275</v>
          </cell>
          <cell r="B97" t="str">
            <v>Caibro 7x4 madeira branca</v>
          </cell>
          <cell r="C97" t="str">
            <v>ml</v>
          </cell>
          <cell r="D97">
            <v>2.52</v>
          </cell>
          <cell r="E97">
            <v>2.3100000000000005</v>
          </cell>
        </row>
        <row r="98">
          <cell r="A98">
            <v>276</v>
          </cell>
          <cell r="B98" t="str">
            <v>Caibro 7x5 Parajú</v>
          </cell>
          <cell r="C98" t="str">
            <v>ml</v>
          </cell>
          <cell r="D98">
            <v>2.2799999999999998</v>
          </cell>
          <cell r="E98">
            <v>2.09</v>
          </cell>
        </row>
        <row r="99">
          <cell r="A99">
            <v>280</v>
          </cell>
          <cell r="B99" t="str">
            <v>Caibro 7x5 Parajú</v>
          </cell>
          <cell r="C99" t="str">
            <v>ml</v>
          </cell>
          <cell r="D99">
            <v>1.32</v>
          </cell>
          <cell r="E99">
            <v>1.2100000000000002</v>
          </cell>
        </row>
        <row r="100">
          <cell r="A100">
            <v>282</v>
          </cell>
          <cell r="B100" t="str">
            <v>Caibro 7x4 madeira branca</v>
          </cell>
          <cell r="C100" t="str">
            <v>ml</v>
          </cell>
          <cell r="D100">
            <v>5.4</v>
          </cell>
          <cell r="E100">
            <v>4.95</v>
          </cell>
        </row>
        <row r="101">
          <cell r="A101">
            <v>286</v>
          </cell>
          <cell r="B101" t="str">
            <v>Telha amianto ondulada 2,44 x 0,50 fibrotex</v>
          </cell>
          <cell r="C101" t="str">
            <v>un</v>
          </cell>
          <cell r="D101">
            <v>6</v>
          </cell>
          <cell r="E101">
            <v>5.5</v>
          </cell>
        </row>
        <row r="102">
          <cell r="A102">
            <v>287</v>
          </cell>
          <cell r="B102" t="str">
            <v>Telha amianto ondulada 1,83 x 1,10</v>
          </cell>
          <cell r="C102" t="str">
            <v>un</v>
          </cell>
          <cell r="D102">
            <v>9.6</v>
          </cell>
          <cell r="E102">
            <v>8.8000000000000007</v>
          </cell>
        </row>
        <row r="103">
          <cell r="A103">
            <v>288</v>
          </cell>
          <cell r="B103" t="str">
            <v>Telha de barro colonial</v>
          </cell>
          <cell r="C103" t="str">
            <v>un</v>
          </cell>
          <cell r="D103">
            <v>0.14399999999999999</v>
          </cell>
          <cell r="E103">
            <v>0.13200000000000001</v>
          </cell>
        </row>
        <row r="104">
          <cell r="A104">
            <v>290</v>
          </cell>
          <cell r="B104" t="str">
            <v>Laje pré-fabricada e=10cm</v>
          </cell>
          <cell r="C104" t="str">
            <v>m2</v>
          </cell>
          <cell r="D104">
            <v>9.36</v>
          </cell>
          <cell r="E104">
            <v>8.58</v>
          </cell>
        </row>
        <row r="105">
          <cell r="A105">
            <v>291</v>
          </cell>
          <cell r="B105" t="str">
            <v>Escora de eucalipto 3m</v>
          </cell>
          <cell r="C105" t="str">
            <v>peça</v>
          </cell>
          <cell r="D105">
            <v>1.2</v>
          </cell>
          <cell r="E105">
            <v>1.1000000000000001</v>
          </cell>
        </row>
        <row r="106">
          <cell r="A106">
            <v>292</v>
          </cell>
          <cell r="B106" t="str">
            <v>Prego 15 x 15</v>
          </cell>
          <cell r="C106" t="str">
            <v>kg</v>
          </cell>
          <cell r="D106">
            <v>3.24</v>
          </cell>
          <cell r="E106">
            <v>2.9700000000000006</v>
          </cell>
        </row>
        <row r="111">
          <cell r="A111">
            <v>3000</v>
          </cell>
          <cell r="B111" t="str">
            <v>PISOS E REVESTIMENTOS</v>
          </cell>
        </row>
        <row r="112">
          <cell r="A112">
            <v>301</v>
          </cell>
          <cell r="B112" t="str">
            <v>Azulejo branco 15x15</v>
          </cell>
          <cell r="C112" t="str">
            <v>m2</v>
          </cell>
          <cell r="D112">
            <v>0</v>
          </cell>
        </row>
        <row r="113">
          <cell r="A113">
            <v>302</v>
          </cell>
          <cell r="B113" t="str">
            <v>Azulejo de cor 15x15</v>
          </cell>
          <cell r="C113" t="str">
            <v>m2</v>
          </cell>
          <cell r="D113">
            <v>0</v>
          </cell>
        </row>
        <row r="114">
          <cell r="A114">
            <v>304</v>
          </cell>
          <cell r="B114" t="str">
            <v>Ladrilho hidráulico 1 cor</v>
          </cell>
          <cell r="C114" t="str">
            <v>m2</v>
          </cell>
          <cell r="D114">
            <v>0</v>
          </cell>
        </row>
        <row r="115">
          <cell r="A115">
            <v>305</v>
          </cell>
          <cell r="B115" t="str">
            <v>Ladrilho hidráulico 2 cores</v>
          </cell>
          <cell r="C115" t="str">
            <v>m2</v>
          </cell>
          <cell r="D115">
            <v>0</v>
          </cell>
        </row>
        <row r="116">
          <cell r="A116">
            <v>306</v>
          </cell>
          <cell r="B116" t="str">
            <v>Lajota cerâmica 32x32cm</v>
          </cell>
          <cell r="C116" t="str">
            <v>m2</v>
          </cell>
          <cell r="D116">
            <v>0</v>
          </cell>
        </row>
        <row r="117">
          <cell r="A117">
            <v>308</v>
          </cell>
          <cell r="B117" t="str">
            <v>Cerâmica vermelha 12x24cm</v>
          </cell>
          <cell r="C117" t="str">
            <v>m2</v>
          </cell>
          <cell r="D117">
            <v>0</v>
          </cell>
        </row>
        <row r="118">
          <cell r="A118">
            <v>310</v>
          </cell>
          <cell r="B118" t="str">
            <v>Ardósia 40x40cm</v>
          </cell>
          <cell r="C118" t="str">
            <v>m2</v>
          </cell>
          <cell r="D118">
            <v>7.2</v>
          </cell>
          <cell r="E118">
            <v>6.6000000000000005</v>
          </cell>
        </row>
        <row r="119">
          <cell r="A119">
            <v>311</v>
          </cell>
          <cell r="B119" t="str">
            <v>Cerâmica 10x10</v>
          </cell>
          <cell r="C119" t="str">
            <v>m2</v>
          </cell>
          <cell r="D119">
            <v>10.68</v>
          </cell>
          <cell r="E119">
            <v>9.7900000000000009</v>
          </cell>
        </row>
        <row r="120">
          <cell r="A120">
            <v>312</v>
          </cell>
          <cell r="B120" t="str">
            <v>Cerâmica 40x40</v>
          </cell>
          <cell r="C120" t="str">
            <v>m2</v>
          </cell>
          <cell r="D120">
            <v>16.164000000000001</v>
          </cell>
          <cell r="E120">
            <v>14.817000000000002</v>
          </cell>
        </row>
        <row r="121">
          <cell r="A121">
            <v>313</v>
          </cell>
          <cell r="B121" t="str">
            <v>Cerâmica 30x30</v>
          </cell>
          <cell r="C121" t="str">
            <v>m2</v>
          </cell>
          <cell r="D121">
            <v>10.284000000000001</v>
          </cell>
          <cell r="E121">
            <v>9.4270000000000014</v>
          </cell>
        </row>
        <row r="122">
          <cell r="A122">
            <v>314</v>
          </cell>
          <cell r="B122" t="str">
            <v>Cerâmica 20x30</v>
          </cell>
          <cell r="C122" t="str">
            <v>m2</v>
          </cell>
          <cell r="D122">
            <v>8.52</v>
          </cell>
          <cell r="E122">
            <v>7.8100000000000005</v>
          </cell>
        </row>
        <row r="123">
          <cell r="A123">
            <v>315</v>
          </cell>
          <cell r="B123" t="str">
            <v>Cerâmica 15x15</v>
          </cell>
          <cell r="C123" t="str">
            <v>m2</v>
          </cell>
          <cell r="D123">
            <v>7.26</v>
          </cell>
          <cell r="E123">
            <v>6.6550000000000002</v>
          </cell>
        </row>
        <row r="124">
          <cell r="A124">
            <v>316</v>
          </cell>
          <cell r="B124" t="str">
            <v>Assoalho de sucupira 15cm</v>
          </cell>
          <cell r="C124" t="str">
            <v>m2</v>
          </cell>
          <cell r="D124">
            <v>0</v>
          </cell>
          <cell r="E124">
            <v>0</v>
          </cell>
        </row>
        <row r="125">
          <cell r="A125">
            <v>317</v>
          </cell>
          <cell r="B125" t="str">
            <v>Mármore branco 3cm</v>
          </cell>
          <cell r="C125" t="str">
            <v>m2</v>
          </cell>
          <cell r="D125">
            <v>60</v>
          </cell>
          <cell r="E125">
            <v>55.000000000000007</v>
          </cell>
        </row>
        <row r="126">
          <cell r="A126">
            <v>318</v>
          </cell>
          <cell r="B126" t="str">
            <v>Granito Branco Polar</v>
          </cell>
          <cell r="C126" t="str">
            <v>m2</v>
          </cell>
          <cell r="D126">
            <v>84</v>
          </cell>
          <cell r="E126">
            <v>77</v>
          </cell>
        </row>
        <row r="127">
          <cell r="A127">
            <v>319</v>
          </cell>
          <cell r="B127" t="str">
            <v>Granito Cinza Andorinha</v>
          </cell>
          <cell r="C127" t="str">
            <v>m2</v>
          </cell>
          <cell r="D127">
            <v>48</v>
          </cell>
          <cell r="E127">
            <v>44</v>
          </cell>
        </row>
        <row r="128">
          <cell r="A128">
            <v>320</v>
          </cell>
          <cell r="B128" t="str">
            <v>Pedra portuguesa</v>
          </cell>
          <cell r="C128" t="str">
            <v>m2</v>
          </cell>
          <cell r="D128">
            <v>12.6</v>
          </cell>
          <cell r="E128">
            <v>11.55</v>
          </cell>
        </row>
        <row r="129">
          <cell r="A129">
            <v>350</v>
          </cell>
          <cell r="B129" t="str">
            <v>Rodapé em granito h=7cm</v>
          </cell>
          <cell r="C129" t="str">
            <v>ml</v>
          </cell>
          <cell r="D129">
            <v>4.2</v>
          </cell>
          <cell r="E129">
            <v>3.8500000000000005</v>
          </cell>
        </row>
        <row r="130">
          <cell r="A130">
            <v>352</v>
          </cell>
          <cell r="B130" t="str">
            <v>Rodapé de angelim pedra</v>
          </cell>
          <cell r="C130" t="str">
            <v>ml</v>
          </cell>
          <cell r="D130">
            <v>1.68</v>
          </cell>
          <cell r="E130">
            <v>1.54</v>
          </cell>
        </row>
        <row r="132">
          <cell r="A132">
            <v>4000</v>
          </cell>
          <cell r="B132" t="str">
            <v>LOUÇAS E METAIS</v>
          </cell>
        </row>
        <row r="133">
          <cell r="A133">
            <v>401</v>
          </cell>
          <cell r="B133" t="str">
            <v>Vaso sanitário Logasa</v>
          </cell>
          <cell r="C133" t="str">
            <v>un</v>
          </cell>
          <cell r="D133">
            <v>60</v>
          </cell>
          <cell r="E133">
            <v>55.000000000000007</v>
          </cell>
        </row>
        <row r="134">
          <cell r="A134">
            <v>403</v>
          </cell>
          <cell r="B134" t="str">
            <v>Bacia turca</v>
          </cell>
          <cell r="C134" t="str">
            <v>un</v>
          </cell>
          <cell r="D134">
            <v>42</v>
          </cell>
          <cell r="E134">
            <v>38.5</v>
          </cell>
        </row>
        <row r="135">
          <cell r="A135">
            <v>404</v>
          </cell>
          <cell r="B135" t="str">
            <v>Lavatório de coluna</v>
          </cell>
          <cell r="C135" t="str">
            <v>un</v>
          </cell>
          <cell r="D135">
            <v>0</v>
          </cell>
          <cell r="E135">
            <v>0</v>
          </cell>
        </row>
        <row r="136">
          <cell r="A136">
            <v>405</v>
          </cell>
          <cell r="B136" t="str">
            <v>Lavatório suspenso</v>
          </cell>
          <cell r="C136" t="str">
            <v>un</v>
          </cell>
          <cell r="D136">
            <v>57.6</v>
          </cell>
          <cell r="E136">
            <v>52.800000000000004</v>
          </cell>
        </row>
        <row r="137">
          <cell r="A137">
            <v>408</v>
          </cell>
          <cell r="B137" t="str">
            <v>Bancada de ardósia</v>
          </cell>
          <cell r="C137" t="str">
            <v>m2</v>
          </cell>
          <cell r="D137">
            <v>0</v>
          </cell>
          <cell r="E137">
            <v>0</v>
          </cell>
        </row>
        <row r="138">
          <cell r="A138">
            <v>409</v>
          </cell>
          <cell r="B138" t="str">
            <v>Bancada de granito</v>
          </cell>
          <cell r="C138" t="str">
            <v>m2</v>
          </cell>
          <cell r="D138">
            <v>84</v>
          </cell>
          <cell r="E138">
            <v>77</v>
          </cell>
        </row>
        <row r="139">
          <cell r="A139">
            <v>410</v>
          </cell>
          <cell r="B139" t="str">
            <v>Bojo para pia inox</v>
          </cell>
          <cell r="C139" t="str">
            <v>un</v>
          </cell>
          <cell r="D139">
            <v>60</v>
          </cell>
          <cell r="E139">
            <v>55.000000000000007</v>
          </cell>
        </row>
        <row r="140">
          <cell r="A140">
            <v>415</v>
          </cell>
          <cell r="B140" t="str">
            <v>Tanque pré-moldado</v>
          </cell>
          <cell r="C140" t="str">
            <v>un</v>
          </cell>
          <cell r="D140">
            <v>0</v>
          </cell>
          <cell r="E140">
            <v>0</v>
          </cell>
        </row>
        <row r="141">
          <cell r="A141">
            <v>416</v>
          </cell>
          <cell r="B141" t="str">
            <v>Tanque de Louça</v>
          </cell>
          <cell r="C141" t="str">
            <v>un</v>
          </cell>
          <cell r="D141">
            <v>58.8</v>
          </cell>
          <cell r="E141">
            <v>53.900000000000006</v>
          </cell>
        </row>
        <row r="142">
          <cell r="A142">
            <v>417</v>
          </cell>
          <cell r="B142" t="str">
            <v>Tanque Inox</v>
          </cell>
          <cell r="C142" t="str">
            <v>un</v>
          </cell>
          <cell r="D142">
            <v>0</v>
          </cell>
          <cell r="E142">
            <v>0</v>
          </cell>
        </row>
        <row r="143">
          <cell r="A143">
            <v>430</v>
          </cell>
          <cell r="B143" t="str">
            <v>Caixa d´água 500l</v>
          </cell>
          <cell r="C143" t="str">
            <v>un</v>
          </cell>
          <cell r="D143">
            <v>84</v>
          </cell>
          <cell r="E143">
            <v>77</v>
          </cell>
        </row>
        <row r="144">
          <cell r="A144">
            <v>431</v>
          </cell>
          <cell r="B144" t="str">
            <v>Caixa d´água 1000l</v>
          </cell>
          <cell r="C144" t="str">
            <v>un</v>
          </cell>
          <cell r="D144">
            <v>0</v>
          </cell>
        </row>
        <row r="155">
          <cell r="A155">
            <v>5000</v>
          </cell>
          <cell r="B155" t="str">
            <v>ESQUADRIAS</v>
          </cell>
        </row>
        <row r="156">
          <cell r="A156">
            <v>502</v>
          </cell>
          <cell r="B156" t="str">
            <v>Porta interna madeira 60/70/80 x 210</v>
          </cell>
          <cell r="C156" t="str">
            <v>un</v>
          </cell>
          <cell r="D156">
            <v>42</v>
          </cell>
          <cell r="E156">
            <v>38.5</v>
          </cell>
        </row>
        <row r="157">
          <cell r="A157">
            <v>510</v>
          </cell>
          <cell r="B157" t="str">
            <v>Porta externa madeira 80 x 210</v>
          </cell>
          <cell r="C157" t="str">
            <v>un</v>
          </cell>
          <cell r="D157">
            <v>60</v>
          </cell>
          <cell r="E157">
            <v>55.000000000000007</v>
          </cell>
        </row>
        <row r="158">
          <cell r="A158">
            <v>520</v>
          </cell>
          <cell r="B158" t="str">
            <v>Janela de madeira</v>
          </cell>
          <cell r="C158" t="str">
            <v>un</v>
          </cell>
          <cell r="D158">
            <v>50.4</v>
          </cell>
          <cell r="E158">
            <v>46.2</v>
          </cell>
        </row>
        <row r="172">
          <cell r="A172">
            <v>6000</v>
          </cell>
          <cell r="B172" t="str">
            <v>ACABAMENTOS</v>
          </cell>
        </row>
        <row r="173">
          <cell r="A173">
            <v>602</v>
          </cell>
          <cell r="B173" t="str">
            <v>Massa PVA</v>
          </cell>
          <cell r="C173" t="str">
            <v>kg</v>
          </cell>
          <cell r="D173">
            <v>0.372</v>
          </cell>
          <cell r="E173">
            <v>0.34100000000000003</v>
          </cell>
        </row>
        <row r="174">
          <cell r="A174">
            <v>603</v>
          </cell>
          <cell r="B174" t="str">
            <v>Massa a óleo</v>
          </cell>
          <cell r="C174" t="str">
            <v>kg</v>
          </cell>
          <cell r="D174">
            <v>3.6480000000000001</v>
          </cell>
          <cell r="E174">
            <v>3.3440000000000003</v>
          </cell>
        </row>
        <row r="175">
          <cell r="A175">
            <v>604</v>
          </cell>
          <cell r="B175" t="str">
            <v>Tinta látex Suvinil</v>
          </cell>
          <cell r="C175" t="str">
            <v>l</v>
          </cell>
          <cell r="D175">
            <v>8.52</v>
          </cell>
          <cell r="E175">
            <v>7.8100000000000005</v>
          </cell>
        </row>
        <row r="176">
          <cell r="A176">
            <v>605</v>
          </cell>
          <cell r="B176" t="str">
            <v>Tinta Texturada acrílica</v>
          </cell>
          <cell r="C176" t="str">
            <v>l</v>
          </cell>
          <cell r="D176">
            <v>12.6</v>
          </cell>
          <cell r="E176">
            <v>11.55</v>
          </cell>
        </row>
        <row r="177">
          <cell r="A177">
            <v>606</v>
          </cell>
          <cell r="B177" t="str">
            <v>Líquido selador</v>
          </cell>
          <cell r="C177" t="str">
            <v>l</v>
          </cell>
          <cell r="D177">
            <v>5.76</v>
          </cell>
          <cell r="E177">
            <v>5.28</v>
          </cell>
        </row>
        <row r="178">
          <cell r="A178">
            <v>607</v>
          </cell>
          <cell r="B178" t="str">
            <v>Verniz para madeira com filtro</v>
          </cell>
          <cell r="C178" t="str">
            <v>l</v>
          </cell>
          <cell r="D178">
            <v>9.36</v>
          </cell>
          <cell r="E178">
            <v>8.58</v>
          </cell>
        </row>
        <row r="179">
          <cell r="A179">
            <v>608</v>
          </cell>
          <cell r="B179" t="str">
            <v xml:space="preserve">Tinta esmalte </v>
          </cell>
          <cell r="C179" t="str">
            <v>l</v>
          </cell>
          <cell r="D179">
            <v>12.360000000000001</v>
          </cell>
          <cell r="E179">
            <v>11.330000000000002</v>
          </cell>
        </row>
        <row r="180">
          <cell r="A180">
            <v>609</v>
          </cell>
          <cell r="B180" t="str">
            <v>Fundo para madeira</v>
          </cell>
          <cell r="C180" t="str">
            <v>l</v>
          </cell>
          <cell r="D180">
            <v>12.360000000000001</v>
          </cell>
          <cell r="E180">
            <v>11.330000000000002</v>
          </cell>
        </row>
        <row r="182">
          <cell r="A182">
            <v>7000</v>
          </cell>
          <cell r="B182" t="str">
            <v>FERRAGENS</v>
          </cell>
        </row>
        <row r="183">
          <cell r="A183">
            <v>710</v>
          </cell>
          <cell r="B183" t="str">
            <v>Pino aço cravado (pino e fincapino)</v>
          </cell>
          <cell r="C183" t="str">
            <v>un</v>
          </cell>
          <cell r="D183">
            <v>0.32</v>
          </cell>
          <cell r="E183">
            <v>0.35200000000000004</v>
          </cell>
        </row>
        <row r="184">
          <cell r="A184">
            <v>750</v>
          </cell>
          <cell r="B184" t="str">
            <v xml:space="preserve">Dobradiça 21/2" </v>
          </cell>
          <cell r="C184" t="str">
            <v>un</v>
          </cell>
          <cell r="D184">
            <v>0.8</v>
          </cell>
          <cell r="E184">
            <v>0.88000000000000012</v>
          </cell>
        </row>
        <row r="185">
          <cell r="A185">
            <v>760</v>
          </cell>
          <cell r="B185" t="str">
            <v>Fechadura interna tipo alavanca</v>
          </cell>
          <cell r="C185" t="str">
            <v>un</v>
          </cell>
          <cell r="D185">
            <v>17.3</v>
          </cell>
          <cell r="E185">
            <v>19.03</v>
          </cell>
        </row>
        <row r="186">
          <cell r="A186">
            <v>762</v>
          </cell>
          <cell r="B186" t="str">
            <v>Fechadura externa tipo bola</v>
          </cell>
          <cell r="C186" t="str">
            <v>un</v>
          </cell>
          <cell r="D186">
            <v>21.3</v>
          </cell>
          <cell r="E186">
            <v>23.430000000000003</v>
          </cell>
        </row>
        <row r="187">
          <cell r="A187">
            <v>764</v>
          </cell>
          <cell r="B187" t="str">
            <v>Fechadura para banheiro</v>
          </cell>
          <cell r="C187" t="str">
            <v>un</v>
          </cell>
          <cell r="D187">
            <v>17.3</v>
          </cell>
          <cell r="E187">
            <v>19.03</v>
          </cell>
        </row>
        <row r="189">
          <cell r="A189">
            <v>8000</v>
          </cell>
          <cell r="B189" t="str">
            <v>MATERIAIS ELÉTRICOS E HIDRÁULICOS</v>
          </cell>
        </row>
        <row r="190">
          <cell r="A190">
            <v>801</v>
          </cell>
          <cell r="B190" t="str">
            <v>Poste padrão</v>
          </cell>
          <cell r="C190" t="str">
            <v>un</v>
          </cell>
          <cell r="D190">
            <v>312</v>
          </cell>
          <cell r="E190">
            <v>286</v>
          </cell>
        </row>
        <row r="191">
          <cell r="A191">
            <v>805</v>
          </cell>
          <cell r="B191" t="str">
            <v>Disjuntor tripolar 70A</v>
          </cell>
          <cell r="C191" t="str">
            <v>peça</v>
          </cell>
          <cell r="D191">
            <v>42</v>
          </cell>
          <cell r="E191">
            <v>38.5</v>
          </cell>
        </row>
        <row r="192">
          <cell r="A192">
            <v>807</v>
          </cell>
          <cell r="B192" t="str">
            <v>Chave trifásica simples</v>
          </cell>
          <cell r="C192" t="str">
            <v>peça</v>
          </cell>
          <cell r="D192">
            <v>45.6</v>
          </cell>
          <cell r="E192">
            <v>41.800000000000004</v>
          </cell>
        </row>
        <row r="193">
          <cell r="A193">
            <v>810</v>
          </cell>
          <cell r="B193" t="str">
            <v>Eletroduto PVC rígido 3"</v>
          </cell>
          <cell r="C193" t="str">
            <v>vara</v>
          </cell>
          <cell r="D193">
            <v>30</v>
          </cell>
          <cell r="E193">
            <v>27.500000000000004</v>
          </cell>
        </row>
        <row r="194">
          <cell r="A194">
            <v>812</v>
          </cell>
          <cell r="B194" t="str">
            <v>Eletroduto PVC rígido 3/4"</v>
          </cell>
          <cell r="C194" t="str">
            <v>vara</v>
          </cell>
          <cell r="D194">
            <v>2.7720000000000002</v>
          </cell>
          <cell r="E194">
            <v>2.5410000000000004</v>
          </cell>
        </row>
        <row r="195">
          <cell r="A195">
            <v>815</v>
          </cell>
          <cell r="B195" t="str">
            <v>Curva p/ eletroduto PVC 3"</v>
          </cell>
          <cell r="C195" t="str">
            <v>peça</v>
          </cell>
          <cell r="D195">
            <v>7.6800000000000006</v>
          </cell>
          <cell r="E195">
            <v>7.0400000000000009</v>
          </cell>
        </row>
        <row r="196">
          <cell r="A196">
            <v>817</v>
          </cell>
          <cell r="B196" t="str">
            <v>Luva p/ eletroduto PVC 3"</v>
          </cell>
          <cell r="C196" t="str">
            <v>peça</v>
          </cell>
          <cell r="D196">
            <v>5.8800000000000008</v>
          </cell>
          <cell r="E196">
            <v>5.3900000000000006</v>
          </cell>
        </row>
        <row r="197">
          <cell r="A197">
            <v>820</v>
          </cell>
          <cell r="B197" t="str">
            <v>Lâmpada incandescente 100W</v>
          </cell>
          <cell r="C197" t="str">
            <v>unid.</v>
          </cell>
          <cell r="D197">
            <v>1.38</v>
          </cell>
          <cell r="E197">
            <v>1.2649999999999999</v>
          </cell>
        </row>
        <row r="198">
          <cell r="A198">
            <v>830</v>
          </cell>
          <cell r="B198" t="str">
            <v>Tomada tripolar</v>
          </cell>
          <cell r="C198" t="str">
            <v>peça</v>
          </cell>
          <cell r="D198">
            <v>8.0400000000000009</v>
          </cell>
          <cell r="E198">
            <v>7.370000000000001</v>
          </cell>
        </row>
        <row r="199">
          <cell r="A199">
            <v>840</v>
          </cell>
          <cell r="B199" t="str">
            <v>Cabo 16,0mm2</v>
          </cell>
          <cell r="C199" t="str">
            <v>metro</v>
          </cell>
          <cell r="D199">
            <v>1.68</v>
          </cell>
          <cell r="E199">
            <v>1.54</v>
          </cell>
        </row>
        <row r="207">
          <cell r="A207">
            <v>9000</v>
          </cell>
          <cell r="B207" t="str">
            <v>EQUIPAMENTOS / FERRAMENTAS</v>
          </cell>
        </row>
        <row r="208">
          <cell r="A208">
            <v>902</v>
          </cell>
          <cell r="B208" t="str">
            <v>Retro escavadeira</v>
          </cell>
          <cell r="C208" t="str">
            <v>h</v>
          </cell>
          <cell r="D208">
            <v>60</v>
          </cell>
          <cell r="E208">
            <v>55.000000000000007</v>
          </cell>
        </row>
        <row r="209">
          <cell r="A209">
            <v>904</v>
          </cell>
          <cell r="B209" t="str">
            <v>Caminhão basculante</v>
          </cell>
          <cell r="C209" t="str">
            <v>h</v>
          </cell>
          <cell r="D209">
            <v>45</v>
          </cell>
          <cell r="E209">
            <v>41.25</v>
          </cell>
        </row>
        <row r="210">
          <cell r="A210">
            <v>906</v>
          </cell>
          <cell r="B210" t="str">
            <v>Caminhão carroceria</v>
          </cell>
          <cell r="C210" t="str">
            <v>h</v>
          </cell>
          <cell r="D210">
            <v>45</v>
          </cell>
          <cell r="E210">
            <v>41.25</v>
          </cell>
        </row>
        <row r="211">
          <cell r="A211">
            <v>912</v>
          </cell>
          <cell r="B211" t="str">
            <v>Betoneira</v>
          </cell>
          <cell r="C211" t="str">
            <v>h</v>
          </cell>
          <cell r="D211">
            <v>0.68399999999999994</v>
          </cell>
          <cell r="E211">
            <v>0.627</v>
          </cell>
        </row>
        <row r="212">
          <cell r="A212">
            <v>920</v>
          </cell>
          <cell r="B212" t="str">
            <v>Andaime fachadeiro tipo catraca</v>
          </cell>
          <cell r="C212" t="str">
            <v>mês</v>
          </cell>
          <cell r="D212">
            <v>72</v>
          </cell>
          <cell r="E212">
            <v>66</v>
          </cell>
        </row>
        <row r="213">
          <cell r="A213">
            <v>922</v>
          </cell>
          <cell r="B213" t="str">
            <v>Andaime tubular</v>
          </cell>
          <cell r="C213" t="str">
            <v>metro/mês</v>
          </cell>
          <cell r="D213">
            <v>5.6639999999999997</v>
          </cell>
          <cell r="E213">
            <v>5.1920000000000002</v>
          </cell>
        </row>
        <row r="214">
          <cell r="A214">
            <v>924</v>
          </cell>
          <cell r="B214" t="str">
            <v>Escoramento metálico</v>
          </cell>
          <cell r="C214" t="str">
            <v>m2/dia</v>
          </cell>
          <cell r="D214">
            <v>0.26400000000000001</v>
          </cell>
          <cell r="E214">
            <v>0.24200000000000002</v>
          </cell>
        </row>
        <row r="215">
          <cell r="A215">
            <v>926</v>
          </cell>
          <cell r="B215" t="str">
            <v>Forma metálica</v>
          </cell>
          <cell r="C215" t="str">
            <v>m2</v>
          </cell>
          <cell r="D215">
            <v>0</v>
          </cell>
          <cell r="E215">
            <v>0</v>
          </cell>
        </row>
        <row r="216">
          <cell r="A216">
            <v>930</v>
          </cell>
          <cell r="B216" t="str">
            <v>Serra circular</v>
          </cell>
          <cell r="C216" t="str">
            <v>h</v>
          </cell>
          <cell r="D216">
            <v>0.68399999999999994</v>
          </cell>
          <cell r="E216">
            <v>0.627</v>
          </cell>
        </row>
        <row r="217">
          <cell r="A217">
            <v>932</v>
          </cell>
          <cell r="B217" t="str">
            <v>Vibrador com mangote</v>
          </cell>
          <cell r="C217" t="str">
            <v>mês</v>
          </cell>
          <cell r="D217">
            <v>84</v>
          </cell>
          <cell r="E217">
            <v>77</v>
          </cell>
        </row>
        <row r="218">
          <cell r="A218">
            <v>934</v>
          </cell>
          <cell r="B218" t="str">
            <v>Serra policorte</v>
          </cell>
          <cell r="C218" t="str">
            <v>h</v>
          </cell>
          <cell r="D218">
            <v>0.68399999999999994</v>
          </cell>
          <cell r="E218">
            <v>0.627</v>
          </cell>
        </row>
        <row r="219">
          <cell r="A219">
            <v>936</v>
          </cell>
          <cell r="B219" t="str">
            <v>Guincho coluna</v>
          </cell>
          <cell r="C219" t="str">
            <v>mês</v>
          </cell>
          <cell r="D219">
            <v>84</v>
          </cell>
          <cell r="E219">
            <v>77</v>
          </cell>
        </row>
        <row r="220">
          <cell r="A220">
            <v>938</v>
          </cell>
          <cell r="B220" t="str">
            <v>Condutor de entulho</v>
          </cell>
          <cell r="C220" t="str">
            <v>mês</v>
          </cell>
          <cell r="D220">
            <v>9.6</v>
          </cell>
          <cell r="E220">
            <v>8.8000000000000007</v>
          </cell>
        </row>
        <row r="221">
          <cell r="A221">
            <v>940</v>
          </cell>
          <cell r="B221" t="str">
            <v>Martelete pneumático</v>
          </cell>
          <cell r="C221" t="str">
            <v>h</v>
          </cell>
          <cell r="D221">
            <v>0</v>
          </cell>
        </row>
        <row r="222">
          <cell r="A222">
            <v>942</v>
          </cell>
          <cell r="B222" t="str">
            <v>Compressor</v>
          </cell>
          <cell r="C222" t="str">
            <v>h</v>
          </cell>
          <cell r="D222">
            <v>0</v>
          </cell>
        </row>
        <row r="224">
          <cell r="A224" t="str">
            <v>SUBCOMPOSIÇÕES</v>
          </cell>
        </row>
        <row r="225">
          <cell r="A225">
            <v>30158</v>
          </cell>
          <cell r="B225" t="str">
            <v>reaterro apiloado de valas</v>
          </cell>
          <cell r="C225" t="str">
            <v>m³</v>
          </cell>
          <cell r="D225">
            <v>11.55</v>
          </cell>
        </row>
        <row r="226">
          <cell r="A226">
            <v>30201</v>
          </cell>
          <cell r="B226" t="str">
            <v>escavação manual até 1,5m</v>
          </cell>
          <cell r="C226" t="str">
            <v>m³</v>
          </cell>
          <cell r="D226">
            <v>8.3800000000000008</v>
          </cell>
        </row>
        <row r="227">
          <cell r="A227">
            <v>40801</v>
          </cell>
          <cell r="B227" t="str">
            <v>AREIA seca peneirada</v>
          </cell>
          <cell r="C227" t="str">
            <v>m³</v>
          </cell>
          <cell r="D227">
            <v>44.46</v>
          </cell>
        </row>
        <row r="228">
          <cell r="A228">
            <v>40803</v>
          </cell>
          <cell r="B228" t="str">
            <v>CAL em pasta peneirada e pura</v>
          </cell>
          <cell r="C228" t="str">
            <v>m³</v>
          </cell>
          <cell r="D228">
            <v>111.74</v>
          </cell>
        </row>
        <row r="229">
          <cell r="A229">
            <v>40839</v>
          </cell>
          <cell r="B229" t="str">
            <v>ARGAMASSA de cimento e areia peneirada 1:3</v>
          </cell>
          <cell r="C229" t="str">
            <v>m³</v>
          </cell>
          <cell r="D229">
            <v>215.98</v>
          </cell>
        </row>
        <row r="230">
          <cell r="A230">
            <v>40927</v>
          </cell>
          <cell r="B230" t="str">
            <v>ARGAMASSA cimento, cal e areia peneirada 1:1:6</v>
          </cell>
          <cell r="C230" t="str">
            <v>m³</v>
          </cell>
          <cell r="D230">
            <v>165.02</v>
          </cell>
        </row>
        <row r="231">
          <cell r="A231">
            <v>50301</v>
          </cell>
          <cell r="B231" t="str">
            <v>forma em tábua de pinho p/fundação reaprov. 5x</v>
          </cell>
          <cell r="C231" t="str">
            <v>m²</v>
          </cell>
          <cell r="D231">
            <v>14.64</v>
          </cell>
        </row>
        <row r="232">
          <cell r="A232">
            <v>50302</v>
          </cell>
          <cell r="B232" t="str">
            <v>forma em tábua de pinho p/fundação sem reaproveitamento</v>
          </cell>
          <cell r="C232" t="str">
            <v>m²</v>
          </cell>
          <cell r="D232">
            <v>27.93</v>
          </cell>
        </row>
        <row r="233">
          <cell r="A233">
            <v>50403</v>
          </cell>
          <cell r="B233" t="str">
            <v>armadura CA-50 média 6,3 a 10mm (1/4 a 3/8")</v>
          </cell>
          <cell r="C233" t="str">
            <v>kg</v>
          </cell>
          <cell r="D233">
            <v>2.4</v>
          </cell>
        </row>
        <row r="234">
          <cell r="A234">
            <v>50405</v>
          </cell>
          <cell r="B234" t="str">
            <v>armadura CA-60 fina 3,4 a 6mm</v>
          </cell>
          <cell r="C234" t="str">
            <v>kg</v>
          </cell>
          <cell r="D234">
            <v>3.58</v>
          </cell>
        </row>
        <row r="235">
          <cell r="A235">
            <v>50505</v>
          </cell>
          <cell r="B235" t="str">
            <v>concreto estrutural fck=15MPa</v>
          </cell>
          <cell r="C235" t="str">
            <v>m³</v>
          </cell>
          <cell r="D235">
            <v>147.19</v>
          </cell>
        </row>
        <row r="236">
          <cell r="A236">
            <v>50515</v>
          </cell>
          <cell r="B236" t="str">
            <v>lançamento e aplicação de concreto em fundação</v>
          </cell>
          <cell r="C236" t="str">
            <v>m³</v>
          </cell>
          <cell r="D236">
            <v>21.58</v>
          </cell>
        </row>
        <row r="237">
          <cell r="A237">
            <v>60409</v>
          </cell>
          <cell r="B237" t="str">
            <v>concreto para laje de piso</v>
          </cell>
          <cell r="C237" t="str">
            <v>m³</v>
          </cell>
          <cell r="D237">
            <v>139.24</v>
          </cell>
        </row>
        <row r="238">
          <cell r="A238">
            <v>60411</v>
          </cell>
          <cell r="B238" t="str">
            <v>Lançamento de concreto em estruturas</v>
          </cell>
          <cell r="C238" t="str">
            <v>m³</v>
          </cell>
          <cell r="D238">
            <v>29.87</v>
          </cell>
        </row>
        <row r="239">
          <cell r="A239">
            <v>70153</v>
          </cell>
          <cell r="B239" t="str">
            <v>alvenaria com blocos de concreto 10x20x40</v>
          </cell>
          <cell r="C239" t="str">
            <v>m²</v>
          </cell>
          <cell r="D239">
            <v>12.86</v>
          </cell>
        </row>
        <row r="240">
          <cell r="A240" t="str">
            <v>S50500</v>
          </cell>
          <cell r="B240" t="str">
            <v>Baldrame concreto armado 15x30cm</v>
          </cell>
          <cell r="C240" t="str">
            <v>ml</v>
          </cell>
          <cell r="D240">
            <v>28.31</v>
          </cell>
        </row>
        <row r="241">
          <cell r="A241" t="str">
            <v>S50505</v>
          </cell>
          <cell r="B241" t="str">
            <v>Baldrame em blocos de concreto 15x20cm</v>
          </cell>
          <cell r="C241" t="str">
            <v>ml</v>
          </cell>
          <cell r="D241">
            <v>20.149999999999999</v>
          </cell>
        </row>
        <row r="242">
          <cell r="A242" t="str">
            <v>S50510</v>
          </cell>
          <cell r="B242" t="str">
            <v>laje de piso não estrutural e=7cm</v>
          </cell>
          <cell r="C242" t="str">
            <v>m2</v>
          </cell>
          <cell r="D242">
            <v>13.08</v>
          </cell>
        </row>
        <row r="243">
          <cell r="A243">
            <v>110408</v>
          </cell>
          <cell r="B243" t="str">
            <v>Cobertura em telha de fibrocimento</v>
          </cell>
          <cell r="C243" t="str">
            <v>m²</v>
          </cell>
          <cell r="D243">
            <v>8.82</v>
          </cell>
        </row>
        <row r="244">
          <cell r="A244">
            <v>160209</v>
          </cell>
          <cell r="B244" t="str">
            <v>Emboço com argamassa mista 1:1:6</v>
          </cell>
          <cell r="C244" t="str">
            <v>m²</v>
          </cell>
          <cell r="D244">
            <v>7.67</v>
          </cell>
        </row>
        <row r="245">
          <cell r="A245">
            <v>170202</v>
          </cell>
          <cell r="B245" t="str">
            <v>regularização de bases e=6cm</v>
          </cell>
          <cell r="C245" t="str">
            <v>m²</v>
          </cell>
          <cell r="D245">
            <v>14.42</v>
          </cell>
        </row>
        <row r="246">
          <cell r="A246" t="str">
            <v>S170202</v>
          </cell>
          <cell r="B246" t="str">
            <v>regulariação de bases e=3cm</v>
          </cell>
          <cell r="C246" t="str">
            <v>m²</v>
          </cell>
          <cell r="D246">
            <v>7.94</v>
          </cell>
        </row>
        <row r="247">
          <cell r="A247">
            <v>200205</v>
          </cell>
          <cell r="B247" t="str">
            <v>Pintura PVA de paredes internas 3 demãos</v>
          </cell>
          <cell r="C247" t="str">
            <v>m²</v>
          </cell>
          <cell r="D247">
            <v>5.37</v>
          </cell>
        </row>
        <row r="248">
          <cell r="A248">
            <v>200602</v>
          </cell>
          <cell r="B248" t="str">
            <v>Pintura a óleo em esquadrias metálicas 2 demãos</v>
          </cell>
          <cell r="C248" t="str">
            <v>m²</v>
          </cell>
          <cell r="D248">
            <v>8.17</v>
          </cell>
        </row>
        <row r="249">
          <cell r="A249">
            <v>500001</v>
          </cell>
          <cell r="B249" t="str">
            <v>Concreto para pisos 13,5 Mpa</v>
          </cell>
          <cell r="C249" t="str">
            <v>m³</v>
          </cell>
          <cell r="D249">
            <v>147.46</v>
          </cell>
        </row>
      </sheetData>
      <sheetData sheetId="4"/>
      <sheetData sheetId="5"/>
      <sheetData sheetId="6"/>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SERVIÇO"/>
      <sheetName val="MATERIAL"/>
      <sheetName val="COMPOSIÇÃO"/>
      <sheetName val="CAPA -1"/>
      <sheetName val="Replan"/>
      <sheetName val="Planilha de Custo"/>
      <sheetName val="Anexos"/>
      <sheetName val="MEDICAO"/>
      <sheetName val="BASE 5E"/>
      <sheetName val="PLANILHA"/>
      <sheetName val="TOTAL"/>
      <sheetName val="(2,5 X1,5) PRIORIDADE 1 "/>
      <sheetName val="(2,5x1,5) PRIORIDADE 2 "/>
      <sheetName val="(2,5x1,5) PRIORIDADE 3 "/>
      <sheetName val="(1,5x1,5)"/>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SERVIÇO"/>
      <sheetName val="MATERIAL"/>
      <sheetName val="COMPOSIÇÃO"/>
      <sheetName val="PLANILHA"/>
      <sheetName val="Planilha de Custo"/>
      <sheetName val="ADMI_25.01"/>
      <sheetName val="Replan"/>
      <sheetName val="Resumo"/>
    </sheetNames>
    <sheetDataSet>
      <sheetData sheetId="0"/>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_ORCA "/>
      <sheetName val="CRONOGRAMA"/>
      <sheetName val="PLAN_FORN"/>
    </sheetNames>
    <sheetDataSet>
      <sheetData sheetId="0"/>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da"/>
      <sheetName val="Plan1"/>
      <sheetName val="Resumo"/>
      <sheetName val="BAIXO GUANDU ITAIMBE"/>
      <sheetName val="cff1"/>
      <sheetName val="ITAIMBE ITAGUACU"/>
      <sheetName val="cff2"/>
      <sheetName val="BAIXO GUANDU AIMORES"/>
      <sheetName val="Tudo"/>
      <sheetName val="cff3"/>
      <sheetName val="abc ápia"/>
      <sheetName val="abc órgão"/>
      <sheetName val="consolida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P"/>
      <sheetName val="Curva S - Fisico"/>
      <sheetName val="Curva S - Financeira"/>
      <sheetName val="Gauss Civil"/>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MATERIAIS"/>
      <sheetName val="TABELA"/>
      <sheetName val="SERVIÇOS"/>
      <sheetName val="ESPELHO  "/>
      <sheetName val="Módulo1"/>
      <sheetName val="PLANILHA DE QUANT. E CUSTOS A"/>
      <sheetName val="Replan"/>
      <sheetName val="Rede de Distribuição de Água"/>
      <sheetName val="Resumo"/>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Indice do Orçamento"/>
      <sheetName val="A.2- RESUMO"/>
      <sheetName val="1-MOD"/>
      <sheetName val="anexo 3 mod"/>
      <sheetName val="13-MAT-FERR"/>
      <sheetName val="14-MAT.SEG "/>
      <sheetName val="15-DIVERSOS"/>
      <sheetName val="16-EQUIP."/>
      <sheetName val="anexo 7 eq"/>
      <sheetName val="17-MOI"/>
      <sheetName val="anexo 4 moi"/>
      <sheetName val="18-CANTEIRO "/>
      <sheetName val="19-TRANSP.PESSOAL"/>
      <sheetName val="20-MOB-DESMOB "/>
      <sheetName val="21-REFEICAO"/>
      <sheetName val="22-VARIOS"/>
      <sheetName val="23-TERCEIROS"/>
      <sheetName val="A- coef definido Serviços"/>
      <sheetName val="A1-coef definido  Terceiros"/>
      <sheetName val="A1-coef defin. Resumo(Ser+Terc)"/>
      <sheetName val="A.3 - CASH_FLOW (4)"/>
      <sheetName val="CURVA-S"/>
      <sheetName val="anexo 1 cro"/>
      <sheetName val="anexo 1 cro (2)"/>
      <sheetName val="A.3 - CASH_FLOW (2)"/>
      <sheetName val="A.3 - CASH_FLOW"/>
      <sheetName val="A.3 - CASH_FLOW (3)"/>
      <sheetName val="A.3 GRAF-CASH-FLOW"/>
    </sheetNames>
    <sheetDataSet>
      <sheetData sheetId="0"/>
      <sheetData sheetId="1"/>
      <sheetData sheetId="2"/>
      <sheetData sheetId="3"/>
      <sheetData sheetId="4" refreshError="1"/>
      <sheetData sheetId="5"/>
      <sheetData sheetId="6"/>
      <sheetData sheetId="7"/>
      <sheetData sheetId="8"/>
      <sheetData sheetId="9" refreshError="1"/>
      <sheetData sheetId="10"/>
      <sheetData sheetId="11" refreshError="1"/>
      <sheetData sheetId="12" refreshError="1"/>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Água"/>
      <sheetName val="QCI - 10-01-06"/>
      <sheetName val="Serviços Esgoto"/>
      <sheetName val="Remanejamento de Famílas"/>
      <sheetName val="Sistema Viário e Drenagem"/>
      <sheetName val="UHB"/>
      <sheetName val="Reflorestamento"/>
      <sheetName val="CEI"/>
      <sheetName val="BAIXO GUANDU ITAIMBE"/>
      <sheetName val="MEMORIAL"/>
      <sheetName val="Repla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Bm 8"/>
      <sheetName val="Bm 8"/>
      <sheetName val="Rede 8"/>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EAP"/>
      <sheetName val="CURVA GERAL"/>
      <sheetName val="CURVA 40%"/>
      <sheetName val="CURVA 50% "/>
      <sheetName val="CURVA  60%"/>
      <sheetName val="CURVAS - 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de Controle - Nova Revis"/>
      <sheetName val="16-EQUIP."/>
      <sheetName val="17-MOI"/>
      <sheetName val="A.2- RESUMO"/>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 120 Dias"/>
      <sheetName val="Reforma"/>
      <sheetName val="Ciência da Natureza"/>
      <sheetName val="Informática"/>
      <sheetName val="Biblioteca"/>
      <sheetName val="CRONOGRAMA_-_120_Dias"/>
      <sheetName val="Ciência_da_Natureza"/>
      <sheetName val="10.0 - CRONOGRAMA"/>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3ªCAT.F.C."/>
      <sheetName val="Replan"/>
      <sheetName val="Resumo"/>
      <sheetName val="Plan1"/>
      <sheetName val="PLANILHA"/>
      <sheetName val="EMERGÊNCIA"/>
      <sheetName val="MEDICA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DE QUANT_ E CUSTOS A"/>
      <sheetName val="ENTRADA DE DADOS (2)"/>
      <sheetName val="RESUMO GERAL (2)"/>
      <sheetName val="DISTRIBUICAO (2)"/>
      <sheetName val="FORMULAS NÃO MEXER (2)"/>
      <sheetName val="TERRAP EST 1871 A 2169 (2)"/>
      <sheetName val="ENTRADA DE DADOS"/>
      <sheetName val="RESUMO GERAL"/>
      <sheetName val="DISTRIBUICAO"/>
      <sheetName val="FORMULAS NÃO MEXER"/>
      <sheetName val="Plan1 (2)"/>
      <sheetName val="REL. EMP. LAT."/>
      <sheetName val="CORTE PISTA"/>
      <sheetName val=" EMPR. LE"/>
      <sheetName val=" EMPR. LD"/>
      <sheetName val=" ATERRO 100%"/>
      <sheetName val=" ATERRO 95%"/>
      <sheetName val="Plan4"/>
      <sheetName val="JUN. 01"/>
      <sheetName val="resumo"/>
      <sheetName val="Plan1"/>
      <sheetName val="Plan3"/>
      <sheetName val="Plan2"/>
      <sheetName val=" ATER. A 100%(SUB.)"/>
      <sheetName val="PLANILHA DE QUANT. E CUSTOS A"/>
      <sheetName val="SERVIÇOS"/>
      <sheetName val="Dados não apagar"/>
      <sheetName val="DISTRIBUIÇÃO VOLUMES"/>
      <sheetName val="PLANILHA"/>
      <sheetName val="LIMPEZA LD"/>
      <sheetName val="ATERRO 95% LD"/>
      <sheetName val="REBAIXO LD"/>
      <sheetName val="CORTE LD"/>
      <sheetName val="CORTE LE"/>
      <sheetName val="RACHÃO LD"/>
      <sheetName val="RACHÃO LE"/>
      <sheetName val="COLCHÃO LD"/>
      <sheetName val="ATERRO 100% LD "/>
      <sheetName val="ESCAVAÇAO VALA LD"/>
      <sheetName val="REMOÇÃO CERCA LD"/>
      <sheetName val="ATERRO 100% LE"/>
      <sheetName val="REMOÇÃO DE CERCA"/>
      <sheetName val="CUBAÇÃO CORTE EMPRESTIMO Km 397"/>
      <sheetName val="CUBAÇÃO CORTE EMPRESTIMO Km 401"/>
      <sheetName val="ATERRO 95% LE"/>
      <sheetName val="REBAIXO LE"/>
      <sheetName val="COLCHÃO LE"/>
      <sheetName val="EXECUÇÃO DE CERCA"/>
      <sheetName val="DESTOC. ARVORES"/>
      <sheetName val="DIVERSOS"/>
      <sheetName val="DADOS"/>
      <sheetName val="eq"/>
      <sheetName val="mo"/>
      <sheetName val="CUSTO HORÁRIO"/>
      <sheetName val="Mão de obra"/>
      <sheetName val="Material"/>
      <sheetName val="MEMORIAL"/>
      <sheetName val="Página 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or Out. 2001 - BDI=20% Ajust"/>
      <sheetName val="Biblioteca Out. 2001 - BDI=20%"/>
      <sheetName val=" Salas OUT 2001 COM BDI 20%"/>
      <sheetName val="Lab cienc nat BRASILIA"/>
      <sheetName val="CRONOGRAMA - 120 Dias"/>
      <sheetName val="Refor Out_ 2001 _ BDI_20_ Ajust"/>
      <sheetName val="Refor_Out__2001_-_BDI=20%_Ajust"/>
      <sheetName val="Biblioteca_Out__2001_-_BDI=20%"/>
      <sheetName val="_Salas_OUT_2001_COM_BDI_20%"/>
      <sheetName val="Lab_cienc_nat_BRASILIA"/>
      <sheetName val="CRONOGRAMA_-_120_Dias"/>
      <sheetName val="Refor_Out__2001___BDI_20__Ajus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fitToPage="1"/>
  </sheetPr>
  <dimension ref="B1:BU579"/>
  <sheetViews>
    <sheetView showGridLines="0" view="pageBreakPreview" topLeftCell="A319" zoomScale="145" zoomScaleNormal="90" zoomScaleSheetLayoutView="145" workbookViewId="0">
      <selection activeCell="B272" sqref="B272:AF337"/>
    </sheetView>
  </sheetViews>
  <sheetFormatPr defaultRowHeight="15" customHeight="1"/>
  <cols>
    <col min="1" max="1" width="9.140625" style="1"/>
    <col min="2" max="32" width="3.7109375" style="1" customWidth="1"/>
    <col min="33" max="33" width="3.28515625" style="1" customWidth="1"/>
    <col min="34" max="34" width="9.5703125" style="1" customWidth="1"/>
    <col min="35" max="35" width="6.42578125" style="1" customWidth="1"/>
    <col min="36" max="36" width="29.28515625" style="1" customWidth="1"/>
    <col min="37" max="41" width="3.7109375" style="1" customWidth="1"/>
    <col min="42" max="42" width="3.85546875" style="1" customWidth="1"/>
    <col min="43" max="45" width="3.7109375" style="1" customWidth="1"/>
    <col min="46" max="46" width="4.140625" style="1" customWidth="1"/>
    <col min="47" max="63" width="3.7109375" style="1" customWidth="1"/>
    <col min="64" max="64" width="4.140625" style="1" hidden="1" customWidth="1"/>
    <col min="65" max="67" width="3.7109375" style="1" hidden="1" customWidth="1"/>
    <col min="68" max="68" width="8.5703125" style="1" customWidth="1"/>
    <col min="69" max="69" width="7.5703125" style="1" customWidth="1"/>
    <col min="70" max="78" width="3.7109375" style="1" customWidth="1"/>
    <col min="79" max="80" width="15.7109375" style="1" customWidth="1"/>
    <col min="81" max="16384" width="9.140625" style="1"/>
  </cols>
  <sheetData>
    <row r="1" spans="2:36" s="347" customFormat="1" ht="24.95" customHeight="1" thickBot="1">
      <c r="B1" s="1244" t="s">
        <v>700</v>
      </c>
      <c r="C1" s="348"/>
      <c r="D1" s="348"/>
      <c r="E1" s="348"/>
      <c r="F1" s="348"/>
      <c r="G1" s="348"/>
      <c r="H1" s="348"/>
      <c r="I1" s="348"/>
      <c r="J1" s="348"/>
      <c r="K1" s="348"/>
      <c r="L1" s="348"/>
      <c r="M1" s="348"/>
      <c r="N1" s="348"/>
      <c r="O1" s="348"/>
      <c r="P1" s="348"/>
      <c r="Q1" s="348"/>
      <c r="R1" s="348"/>
      <c r="S1" s="348"/>
      <c r="T1" s="348"/>
      <c r="U1" s="348"/>
      <c r="V1" s="348"/>
      <c r="W1" s="348"/>
      <c r="X1" s="348"/>
      <c r="Y1" s="700"/>
      <c r="Z1" s="700"/>
      <c r="AA1" s="2108" t="s">
        <v>940</v>
      </c>
      <c r="AB1" s="2108"/>
      <c r="AC1" s="2108"/>
      <c r="AD1" s="2108"/>
      <c r="AE1" s="2108"/>
      <c r="AF1" s="2108"/>
    </row>
    <row r="2" spans="2:36" ht="15" customHeight="1" thickTop="1">
      <c r="B2" s="346"/>
      <c r="C2" s="346"/>
      <c r="D2" s="346"/>
      <c r="E2" s="346"/>
      <c r="F2" s="346"/>
      <c r="G2" s="346"/>
      <c r="H2" s="346"/>
      <c r="I2" s="346"/>
      <c r="J2" s="346"/>
      <c r="K2" s="346"/>
      <c r="L2" s="346"/>
      <c r="M2" s="346"/>
      <c r="N2" s="346"/>
      <c r="O2" s="346"/>
      <c r="P2" s="346"/>
      <c r="Q2" s="346"/>
      <c r="R2" s="346"/>
      <c r="S2" s="346"/>
      <c r="T2" s="346"/>
      <c r="U2" s="346"/>
      <c r="V2" s="346"/>
      <c r="W2" s="346"/>
      <c r="X2" s="346"/>
      <c r="Y2" s="346"/>
      <c r="Z2" s="346"/>
      <c r="AA2" s="346"/>
      <c r="AB2" s="346"/>
      <c r="AC2" s="346"/>
      <c r="AD2" s="346"/>
      <c r="AE2" s="346"/>
      <c r="AF2" s="346"/>
    </row>
    <row r="3" spans="2:36" ht="15" customHeight="1">
      <c r="B3" s="2119" t="s">
        <v>311</v>
      </c>
      <c r="C3" s="2119"/>
      <c r="D3" s="2119"/>
      <c r="E3" s="2119"/>
      <c r="F3" s="2119"/>
      <c r="G3" s="2119"/>
      <c r="H3" s="2119"/>
      <c r="I3" s="2119"/>
      <c r="J3" s="2119"/>
      <c r="K3" s="2119"/>
      <c r="L3" s="2119"/>
      <c r="M3" s="2119"/>
      <c r="N3" s="2119"/>
      <c r="O3" s="2119"/>
      <c r="P3" s="2119"/>
      <c r="Q3" s="2119"/>
      <c r="R3" s="2119"/>
      <c r="S3" s="2119"/>
      <c r="T3" s="2119"/>
      <c r="U3" s="2119"/>
      <c r="V3" s="2119"/>
      <c r="W3" s="2119"/>
      <c r="X3" s="2119"/>
      <c r="Y3" s="2119"/>
      <c r="Z3" s="2119"/>
      <c r="AA3" s="2119"/>
      <c r="AB3" s="2119"/>
      <c r="AC3" s="2119"/>
      <c r="AD3" s="2119"/>
      <c r="AE3" s="2119"/>
      <c r="AF3" s="2119"/>
    </row>
    <row r="4" spans="2:36" ht="15" customHeight="1">
      <c r="B4" s="2120"/>
      <c r="C4" s="2120"/>
      <c r="D4" s="2120"/>
      <c r="E4" s="2120"/>
      <c r="F4" s="2120"/>
      <c r="G4" s="2120"/>
      <c r="H4" s="2120"/>
      <c r="I4" s="2120"/>
      <c r="J4" s="2120"/>
      <c r="K4" s="2120"/>
      <c r="L4" s="2120"/>
      <c r="M4" s="2120"/>
      <c r="N4" s="2120"/>
      <c r="O4" s="2120"/>
      <c r="P4" s="2120"/>
      <c r="Q4" s="2120"/>
      <c r="R4" s="2120"/>
      <c r="S4" s="2120"/>
      <c r="T4" s="2120"/>
      <c r="U4" s="2120"/>
      <c r="V4" s="2120"/>
      <c r="W4" s="2120"/>
      <c r="X4" s="2120"/>
      <c r="Y4" s="2120"/>
      <c r="Z4" s="2120"/>
      <c r="AA4" s="2120"/>
      <c r="AB4" s="2120"/>
      <c r="AC4" s="2120"/>
      <c r="AD4" s="2120"/>
      <c r="AE4" s="2120"/>
      <c r="AF4" s="2120"/>
    </row>
    <row r="5" spans="2:36" ht="15" customHeight="1">
      <c r="B5" s="2137" t="s">
        <v>403</v>
      </c>
      <c r="C5" s="2138"/>
      <c r="D5" s="2138"/>
      <c r="E5" s="2138"/>
      <c r="F5" s="2138"/>
      <c r="G5" s="2138"/>
      <c r="H5" s="2138"/>
      <c r="I5" s="2138"/>
      <c r="J5" s="2138"/>
      <c r="K5" s="2138"/>
      <c r="L5" s="2138"/>
      <c r="M5" s="2138"/>
      <c r="N5" s="2138"/>
      <c r="O5" s="2138"/>
      <c r="P5" s="2138"/>
      <c r="Q5" s="2138"/>
      <c r="R5" s="2138"/>
      <c r="S5" s="2138"/>
      <c r="T5" s="2138"/>
      <c r="U5" s="2138"/>
      <c r="V5" s="2138"/>
      <c r="W5" s="2138"/>
      <c r="X5" s="2138"/>
      <c r="Y5" s="2138"/>
      <c r="Z5" s="2138"/>
      <c r="AA5" s="2138"/>
      <c r="AB5" s="2138"/>
      <c r="AC5" s="2138"/>
      <c r="AD5" s="2138"/>
      <c r="AE5" s="2138"/>
      <c r="AF5" s="2139"/>
    </row>
    <row r="6" spans="2:36" ht="15" customHeight="1">
      <c r="B6" s="2137"/>
      <c r="C6" s="2138"/>
      <c r="D6" s="2138"/>
      <c r="E6" s="2138"/>
      <c r="F6" s="2138"/>
      <c r="G6" s="2138"/>
      <c r="H6" s="2138"/>
      <c r="I6" s="2138"/>
      <c r="J6" s="2138"/>
      <c r="K6" s="2138"/>
      <c r="L6" s="2138"/>
      <c r="M6" s="2138"/>
      <c r="N6" s="2138"/>
      <c r="O6" s="2138"/>
      <c r="P6" s="2138"/>
      <c r="Q6" s="2138"/>
      <c r="R6" s="2138"/>
      <c r="S6" s="2138"/>
      <c r="T6" s="2138"/>
      <c r="U6" s="2138"/>
      <c r="V6" s="2138"/>
      <c r="W6" s="2138"/>
      <c r="X6" s="2138"/>
      <c r="Y6" s="2138"/>
      <c r="Z6" s="2138"/>
      <c r="AA6" s="2138"/>
      <c r="AB6" s="2138"/>
      <c r="AC6" s="2138"/>
      <c r="AD6" s="2138"/>
      <c r="AE6" s="2138"/>
      <c r="AF6" s="2139"/>
    </row>
    <row r="7" spans="2:36" ht="15" customHeight="1">
      <c r="B7" s="1965" t="s">
        <v>300</v>
      </c>
      <c r="C7" s="2177"/>
      <c r="D7" s="2177"/>
      <c r="E7" s="2177"/>
      <c r="F7" s="2177"/>
      <c r="G7" s="2177"/>
      <c r="H7" s="2177"/>
      <c r="I7" s="2180" t="s">
        <v>883</v>
      </c>
      <c r="J7" s="2180"/>
      <c r="K7" s="2180"/>
      <c r="L7" s="2180"/>
      <c r="M7" s="2180"/>
      <c r="N7" s="2180"/>
      <c r="O7" s="2180"/>
      <c r="P7" s="2180"/>
      <c r="Q7" s="2180"/>
      <c r="R7" s="2180"/>
      <c r="S7" s="2180"/>
      <c r="T7" s="2180"/>
      <c r="U7" s="2127" t="s">
        <v>33</v>
      </c>
      <c r="V7" s="2127"/>
      <c r="W7" s="2127"/>
      <c r="X7" s="2127"/>
      <c r="Y7" s="2127"/>
      <c r="Z7" s="2127"/>
      <c r="AA7" s="2127"/>
      <c r="AB7" s="2132" t="s">
        <v>307</v>
      </c>
      <c r="AC7" s="1988"/>
      <c r="AD7" s="1988"/>
      <c r="AE7" s="1988"/>
      <c r="AF7" s="2037"/>
    </row>
    <row r="8" spans="2:36" ht="15" customHeight="1">
      <c r="B8" s="2178"/>
      <c r="C8" s="2179"/>
      <c r="D8" s="2179"/>
      <c r="E8" s="2179"/>
      <c r="F8" s="2179"/>
      <c r="G8" s="2179"/>
      <c r="H8" s="2179"/>
      <c r="I8" s="2181"/>
      <c r="J8" s="2181"/>
      <c r="K8" s="2181"/>
      <c r="L8" s="2181"/>
      <c r="M8" s="2181"/>
      <c r="N8" s="2181"/>
      <c r="O8" s="2181"/>
      <c r="P8" s="2181"/>
      <c r="Q8" s="2181"/>
      <c r="R8" s="2181"/>
      <c r="S8" s="2181"/>
      <c r="T8" s="2181"/>
      <c r="U8" s="2127" t="s">
        <v>309</v>
      </c>
      <c r="V8" s="2127"/>
      <c r="W8" s="2127"/>
      <c r="X8" s="2127"/>
      <c r="Y8" s="2127"/>
      <c r="Z8" s="2127"/>
      <c r="AA8" s="2127"/>
      <c r="AB8" s="2110">
        <v>44232</v>
      </c>
      <c r="AC8" s="1988"/>
      <c r="AD8" s="1988"/>
      <c r="AE8" s="1988"/>
      <c r="AF8" s="2037"/>
    </row>
    <row r="9" spans="2:36" ht="15" customHeight="1">
      <c r="B9" s="2095" t="s">
        <v>24</v>
      </c>
      <c r="C9" s="2111"/>
      <c r="D9" s="2111"/>
      <c r="E9" s="2111"/>
      <c r="F9" s="2111"/>
      <c r="G9" s="2111"/>
      <c r="H9" s="2111"/>
      <c r="I9" s="2113" t="s">
        <v>398</v>
      </c>
      <c r="J9" s="2114"/>
      <c r="K9" s="2114"/>
      <c r="L9" s="2115"/>
      <c r="M9" s="2182" t="s">
        <v>29</v>
      </c>
      <c r="N9" s="2183"/>
      <c r="O9" s="2183"/>
      <c r="P9" s="2184"/>
      <c r="Q9" s="2116" t="s">
        <v>301</v>
      </c>
      <c r="R9" s="2117"/>
      <c r="S9" s="2117"/>
      <c r="T9" s="2118"/>
      <c r="U9" s="2123" t="s">
        <v>25</v>
      </c>
      <c r="V9" s="2094"/>
      <c r="W9" s="2094"/>
      <c r="X9" s="2094"/>
      <c r="Y9" s="2094"/>
      <c r="Z9" s="2094"/>
      <c r="AA9" s="2095"/>
      <c r="AB9" s="2124">
        <v>44244</v>
      </c>
      <c r="AC9" s="2125"/>
      <c r="AD9" s="2125"/>
      <c r="AE9" s="2125"/>
      <c r="AF9" s="2125"/>
    </row>
    <row r="10" spans="2:36" ht="15" customHeight="1">
      <c r="B10" s="2095" t="s">
        <v>302</v>
      </c>
      <c r="C10" s="2111"/>
      <c r="D10" s="2111"/>
      <c r="E10" s="2111"/>
      <c r="F10" s="2111"/>
      <c r="G10" s="2111"/>
      <c r="H10" s="2111"/>
      <c r="I10" s="2112" t="s">
        <v>303</v>
      </c>
      <c r="J10" s="2112"/>
      <c r="K10" s="2112"/>
      <c r="L10" s="2112"/>
      <c r="M10" s="2112"/>
      <c r="N10" s="2112"/>
      <c r="O10" s="2112"/>
      <c r="P10" s="2112"/>
      <c r="Q10" s="2112"/>
      <c r="R10" s="2112"/>
      <c r="S10" s="2112"/>
      <c r="T10" s="2112"/>
      <c r="U10" s="646" t="s">
        <v>27</v>
      </c>
      <c r="V10" s="647"/>
      <c r="W10" s="647"/>
      <c r="X10" s="647"/>
      <c r="Y10" s="647"/>
      <c r="Z10" s="647"/>
      <c r="AA10" s="648"/>
      <c r="AB10" s="2110">
        <v>45453</v>
      </c>
      <c r="AC10" s="1988"/>
      <c r="AD10" s="1988"/>
      <c r="AE10" s="1988"/>
      <c r="AF10" s="2037"/>
    </row>
    <row r="11" spans="2:36" ht="15" customHeight="1">
      <c r="B11" s="1964" t="s">
        <v>28</v>
      </c>
      <c r="C11" s="1964"/>
      <c r="D11" s="1964"/>
      <c r="E11" s="1964"/>
      <c r="F11" s="1964"/>
      <c r="G11" s="1964"/>
      <c r="H11" s="1965"/>
      <c r="I11" s="2185" t="s">
        <v>304</v>
      </c>
      <c r="J11" s="2185"/>
      <c r="K11" s="2185"/>
      <c r="L11" s="2185"/>
      <c r="M11" s="2185"/>
      <c r="N11" s="2185"/>
      <c r="O11" s="2185"/>
      <c r="P11" s="2185"/>
      <c r="Q11" s="2185"/>
      <c r="R11" s="2185"/>
      <c r="S11" s="2185"/>
      <c r="T11" s="2185"/>
      <c r="U11" s="2185"/>
      <c r="V11" s="2185"/>
      <c r="W11" s="2185"/>
      <c r="X11" s="2185"/>
      <c r="Y11" s="2185"/>
      <c r="Z11" s="2185"/>
      <c r="AA11" s="2185"/>
      <c r="AB11" s="2185"/>
      <c r="AC11" s="2185"/>
      <c r="AD11" s="2185"/>
      <c r="AE11" s="2185"/>
      <c r="AF11" s="2185"/>
    </row>
    <row r="12" spans="2:36" ht="15" customHeight="1">
      <c r="B12" s="2188"/>
      <c r="C12" s="2188"/>
      <c r="D12" s="2188"/>
      <c r="E12" s="2188"/>
      <c r="F12" s="2188"/>
      <c r="G12" s="2188"/>
      <c r="H12" s="2189"/>
      <c r="I12" s="2186"/>
      <c r="J12" s="2186"/>
      <c r="K12" s="2186"/>
      <c r="L12" s="2186"/>
      <c r="M12" s="2186"/>
      <c r="N12" s="2186"/>
      <c r="O12" s="2186"/>
      <c r="P12" s="2186"/>
      <c r="Q12" s="2186"/>
      <c r="R12" s="2186"/>
      <c r="S12" s="2186"/>
      <c r="T12" s="2186"/>
      <c r="U12" s="2186"/>
      <c r="V12" s="2186"/>
      <c r="W12" s="2186"/>
      <c r="X12" s="2186"/>
      <c r="Y12" s="2186"/>
      <c r="Z12" s="2186"/>
      <c r="AA12" s="2186"/>
      <c r="AB12" s="2186"/>
      <c r="AC12" s="2186"/>
      <c r="AD12" s="2186"/>
      <c r="AE12" s="2186"/>
      <c r="AF12" s="2186"/>
      <c r="AH12" s="263"/>
    </row>
    <row r="13" spans="2:36" ht="15" customHeight="1">
      <c r="B13" s="2188"/>
      <c r="C13" s="2188"/>
      <c r="D13" s="2188"/>
      <c r="E13" s="2188"/>
      <c r="F13" s="2188"/>
      <c r="G13" s="2188"/>
      <c r="H13" s="2189"/>
      <c r="I13" s="2186"/>
      <c r="J13" s="2186"/>
      <c r="K13" s="2186"/>
      <c r="L13" s="2186"/>
      <c r="M13" s="2186"/>
      <c r="N13" s="2186"/>
      <c r="O13" s="2186"/>
      <c r="P13" s="2186"/>
      <c r="Q13" s="2186"/>
      <c r="R13" s="2186"/>
      <c r="S13" s="2186"/>
      <c r="T13" s="2186"/>
      <c r="U13" s="2186"/>
      <c r="V13" s="2186"/>
      <c r="W13" s="2186"/>
      <c r="X13" s="2186"/>
      <c r="Y13" s="2186"/>
      <c r="Z13" s="2186"/>
      <c r="AA13" s="2186"/>
      <c r="AB13" s="2186"/>
      <c r="AC13" s="2186"/>
      <c r="AD13" s="2186"/>
      <c r="AE13" s="2186"/>
      <c r="AF13" s="2186"/>
    </row>
    <row r="14" spans="2:36" ht="15" customHeight="1">
      <c r="B14" s="2188"/>
      <c r="C14" s="2188"/>
      <c r="D14" s="2188"/>
      <c r="E14" s="2188"/>
      <c r="F14" s="2188"/>
      <c r="G14" s="2188"/>
      <c r="H14" s="2189"/>
      <c r="I14" s="2186"/>
      <c r="J14" s="2186"/>
      <c r="K14" s="2186"/>
      <c r="L14" s="2186"/>
      <c r="M14" s="2186"/>
      <c r="N14" s="2186"/>
      <c r="O14" s="2186"/>
      <c r="P14" s="2186"/>
      <c r="Q14" s="2186"/>
      <c r="R14" s="2186"/>
      <c r="S14" s="2186"/>
      <c r="T14" s="2186"/>
      <c r="U14" s="2186"/>
      <c r="V14" s="2186"/>
      <c r="W14" s="2186"/>
      <c r="X14" s="2186"/>
      <c r="Y14" s="2186"/>
      <c r="Z14" s="2186"/>
      <c r="AA14" s="2186"/>
      <c r="AB14" s="2186"/>
      <c r="AC14" s="2186"/>
      <c r="AD14" s="2186"/>
      <c r="AE14" s="2186"/>
      <c r="AF14" s="2186"/>
      <c r="AH14" s="263"/>
    </row>
    <row r="15" spans="2:36" ht="15" customHeight="1">
      <c r="B15" s="2188"/>
      <c r="C15" s="2188"/>
      <c r="D15" s="2188"/>
      <c r="E15" s="2188"/>
      <c r="F15" s="2188"/>
      <c r="G15" s="2188"/>
      <c r="H15" s="2189"/>
      <c r="I15" s="2186"/>
      <c r="J15" s="2186"/>
      <c r="K15" s="2186"/>
      <c r="L15" s="2186"/>
      <c r="M15" s="2186"/>
      <c r="N15" s="2186"/>
      <c r="O15" s="2186"/>
      <c r="P15" s="2186"/>
      <c r="Q15" s="2186"/>
      <c r="R15" s="2186"/>
      <c r="S15" s="2186"/>
      <c r="T15" s="2186"/>
      <c r="U15" s="2186"/>
      <c r="V15" s="2186"/>
      <c r="W15" s="2186"/>
      <c r="X15" s="2186"/>
      <c r="Y15" s="2186"/>
      <c r="Z15" s="2186"/>
      <c r="AA15" s="2186"/>
      <c r="AB15" s="2186"/>
      <c r="AC15" s="2186"/>
      <c r="AD15" s="2186"/>
      <c r="AE15" s="2186"/>
      <c r="AF15" s="2186"/>
    </row>
    <row r="16" spans="2:36" ht="47.25" customHeight="1">
      <c r="B16" s="2017"/>
      <c r="C16" s="2017"/>
      <c r="D16" s="2017"/>
      <c r="E16" s="2017"/>
      <c r="F16" s="2017"/>
      <c r="G16" s="2017"/>
      <c r="H16" s="2178"/>
      <c r="I16" s="2187"/>
      <c r="J16" s="2187"/>
      <c r="K16" s="2187"/>
      <c r="L16" s="2187"/>
      <c r="M16" s="2187"/>
      <c r="N16" s="2187"/>
      <c r="O16" s="2187"/>
      <c r="P16" s="2187"/>
      <c r="Q16" s="2187"/>
      <c r="R16" s="2187"/>
      <c r="S16" s="2187"/>
      <c r="T16" s="2187"/>
      <c r="U16" s="2187"/>
      <c r="V16" s="2187"/>
      <c r="W16" s="2187"/>
      <c r="X16" s="2187"/>
      <c r="Y16" s="2187"/>
      <c r="Z16" s="2187"/>
      <c r="AA16" s="2187"/>
      <c r="AB16" s="2187"/>
      <c r="AC16" s="2187"/>
      <c r="AD16" s="2187"/>
      <c r="AE16" s="2187"/>
      <c r="AF16" s="2187"/>
      <c r="AJ16" s="263"/>
    </row>
    <row r="17" spans="2:42" ht="15" customHeight="1">
      <c r="B17" s="2094" t="s">
        <v>305</v>
      </c>
      <c r="C17" s="2094"/>
      <c r="D17" s="2094"/>
      <c r="E17" s="2094"/>
      <c r="F17" s="2094"/>
      <c r="G17" s="2094"/>
      <c r="H17" s="2095"/>
      <c r="I17" s="2134" t="s">
        <v>306</v>
      </c>
      <c r="J17" s="2135"/>
      <c r="K17" s="2135"/>
      <c r="L17" s="2136"/>
      <c r="M17" s="2190">
        <v>16106812.27</v>
      </c>
      <c r="N17" s="2191"/>
      <c r="O17" s="2191"/>
      <c r="P17" s="2191"/>
      <c r="Q17" s="2191"/>
      <c r="R17" s="2191"/>
      <c r="S17" s="2191"/>
      <c r="T17" s="2191"/>
      <c r="U17" s="2123" t="s">
        <v>308</v>
      </c>
      <c r="V17" s="2094"/>
      <c r="W17" s="2094"/>
      <c r="X17" s="2094"/>
      <c r="Y17" s="2094"/>
      <c r="Z17" s="2094"/>
      <c r="AA17" s="2095"/>
      <c r="AB17" s="2124">
        <v>44231</v>
      </c>
      <c r="AC17" s="2125"/>
      <c r="AD17" s="2125"/>
      <c r="AE17" s="2125"/>
      <c r="AF17" s="2125"/>
      <c r="AJ17" s="263"/>
    </row>
    <row r="18" spans="2:42" ht="15" customHeight="1">
      <c r="B18" s="2095" t="s">
        <v>30</v>
      </c>
      <c r="C18" s="2111"/>
      <c r="D18" s="2111"/>
      <c r="E18" s="2111"/>
      <c r="F18" s="2111"/>
      <c r="G18" s="2111"/>
      <c r="H18" s="2111"/>
      <c r="I18" s="2112" t="s">
        <v>607</v>
      </c>
      <c r="J18" s="1988"/>
      <c r="K18" s="1988"/>
      <c r="L18" s="1988"/>
      <c r="M18" s="1988"/>
      <c r="N18" s="1988"/>
      <c r="O18" s="1988"/>
      <c r="P18" s="1988"/>
      <c r="Q18" s="1988"/>
      <c r="R18" s="1988"/>
      <c r="S18" s="1988"/>
      <c r="T18" s="1988"/>
      <c r="U18" s="2131" t="s">
        <v>31</v>
      </c>
      <c r="V18" s="2111"/>
      <c r="W18" s="2111"/>
      <c r="X18" s="2111"/>
      <c r="Y18" s="2111"/>
      <c r="Z18" s="2111"/>
      <c r="AA18" s="2111"/>
      <c r="AB18" s="2132" t="s">
        <v>578</v>
      </c>
      <c r="AC18" s="2132"/>
      <c r="AD18" s="2132"/>
      <c r="AE18" s="2132"/>
      <c r="AF18" s="2133"/>
      <c r="AH18" s="263"/>
    </row>
    <row r="19" spans="2:42" ht="15" customHeight="1">
      <c r="B19" s="2095" t="s">
        <v>32</v>
      </c>
      <c r="C19" s="2111"/>
      <c r="D19" s="2111"/>
      <c r="E19" s="2111"/>
      <c r="F19" s="2111"/>
      <c r="G19" s="2111"/>
      <c r="H19" s="2111"/>
      <c r="I19" s="2112" t="s">
        <v>607</v>
      </c>
      <c r="J19" s="1988"/>
      <c r="K19" s="1988"/>
      <c r="L19" s="1988"/>
      <c r="M19" s="1988"/>
      <c r="N19" s="1988"/>
      <c r="O19" s="1988"/>
      <c r="P19" s="1988"/>
      <c r="Q19" s="1988"/>
      <c r="R19" s="1988"/>
      <c r="S19" s="1988"/>
      <c r="T19" s="1988"/>
      <c r="U19" s="2111" t="s">
        <v>31</v>
      </c>
      <c r="V19" s="2111"/>
      <c r="W19" s="2111"/>
      <c r="X19" s="2111"/>
      <c r="Y19" s="2111"/>
      <c r="Z19" s="2111"/>
      <c r="AA19" s="2111"/>
      <c r="AB19" s="2132" t="s">
        <v>578</v>
      </c>
      <c r="AC19" s="2132"/>
      <c r="AD19" s="2132"/>
      <c r="AE19" s="2132"/>
      <c r="AF19" s="2133"/>
      <c r="AH19" s="263"/>
    </row>
    <row r="20" spans="2:42" ht="15" customHeight="1">
      <c r="B20" s="2137" t="s">
        <v>312</v>
      </c>
      <c r="C20" s="2138"/>
      <c r="D20" s="2138"/>
      <c r="E20" s="2138"/>
      <c r="F20" s="2138"/>
      <c r="G20" s="2138"/>
      <c r="H20" s="2138"/>
      <c r="I20" s="2138"/>
      <c r="J20" s="2138"/>
      <c r="K20" s="2138"/>
      <c r="L20" s="2138"/>
      <c r="M20" s="2138"/>
      <c r="N20" s="2138"/>
      <c r="O20" s="2138"/>
      <c r="P20" s="2138"/>
      <c r="Q20" s="2138"/>
      <c r="R20" s="2138"/>
      <c r="S20" s="2138"/>
      <c r="T20" s="2138"/>
      <c r="U20" s="2138"/>
      <c r="V20" s="2138"/>
      <c r="W20" s="2138"/>
      <c r="X20" s="2138"/>
      <c r="Y20" s="2138"/>
      <c r="Z20" s="2138"/>
      <c r="AA20" s="2138"/>
      <c r="AB20" s="2138"/>
      <c r="AC20" s="2138"/>
      <c r="AD20" s="2138"/>
      <c r="AE20" s="2138"/>
      <c r="AF20" s="2139"/>
    </row>
    <row r="21" spans="2:42" ht="15" customHeight="1">
      <c r="B21" s="2137"/>
      <c r="C21" s="2138"/>
      <c r="D21" s="2138"/>
      <c r="E21" s="2138"/>
      <c r="F21" s="2138"/>
      <c r="G21" s="2138"/>
      <c r="H21" s="2138"/>
      <c r="I21" s="2138"/>
      <c r="J21" s="2138"/>
      <c r="K21" s="2138"/>
      <c r="L21" s="2138"/>
      <c r="M21" s="2138"/>
      <c r="N21" s="2138"/>
      <c r="O21" s="2138"/>
      <c r="P21" s="2138"/>
      <c r="Q21" s="2138"/>
      <c r="R21" s="2138"/>
      <c r="S21" s="2138"/>
      <c r="T21" s="2138"/>
      <c r="U21" s="2138"/>
      <c r="V21" s="2138"/>
      <c r="W21" s="2138"/>
      <c r="X21" s="2138"/>
      <c r="Y21" s="2138"/>
      <c r="Z21" s="2138"/>
      <c r="AA21" s="2138"/>
      <c r="AB21" s="2138"/>
      <c r="AC21" s="2138"/>
      <c r="AD21" s="2138"/>
      <c r="AE21" s="2138"/>
      <c r="AF21" s="2139"/>
    </row>
    <row r="22" spans="2:42" ht="15" customHeight="1">
      <c r="B22" s="2152" t="s">
        <v>34</v>
      </c>
      <c r="C22" s="2152"/>
      <c r="D22" s="2152"/>
      <c r="E22" s="2152"/>
      <c r="F22" s="2152"/>
      <c r="G22" s="2152"/>
      <c r="H22" s="2153"/>
      <c r="I22" s="2140" t="s">
        <v>644</v>
      </c>
      <c r="J22" s="2141"/>
      <c r="K22" s="2141"/>
      <c r="L22" s="2141"/>
      <c r="M22" s="2141"/>
      <c r="N22" s="2141"/>
      <c r="O22" s="2141"/>
      <c r="P22" s="2141"/>
      <c r="Q22" s="2141"/>
      <c r="R22" s="2141"/>
      <c r="S22" s="2141"/>
      <c r="T22" s="2142"/>
      <c r="U22" s="2127" t="s">
        <v>33</v>
      </c>
      <c r="V22" s="2127"/>
      <c r="W22" s="2127"/>
      <c r="X22" s="2127"/>
      <c r="Y22" s="2127"/>
      <c r="Z22" s="2127"/>
      <c r="AA22" s="2127"/>
      <c r="AB22" s="2132" t="s">
        <v>421</v>
      </c>
      <c r="AC22" s="1988"/>
      <c r="AD22" s="1988"/>
      <c r="AE22" s="1988"/>
      <c r="AF22" s="2037"/>
    </row>
    <row r="23" spans="2:42" ht="15" customHeight="1">
      <c r="B23" s="2156"/>
      <c r="C23" s="2156"/>
      <c r="D23" s="2156"/>
      <c r="E23" s="2156"/>
      <c r="F23" s="2156"/>
      <c r="G23" s="2156"/>
      <c r="H23" s="2157"/>
      <c r="I23" s="2143"/>
      <c r="J23" s="2144"/>
      <c r="K23" s="2144"/>
      <c r="L23" s="2144"/>
      <c r="M23" s="2144"/>
      <c r="N23" s="2144"/>
      <c r="O23" s="2144"/>
      <c r="P23" s="2144"/>
      <c r="Q23" s="2144"/>
      <c r="R23" s="2144"/>
      <c r="S23" s="2144"/>
      <c r="T23" s="2145"/>
      <c r="U23" s="2127" t="s">
        <v>26</v>
      </c>
      <c r="V23" s="2127"/>
      <c r="W23" s="2127"/>
      <c r="X23" s="2127"/>
      <c r="Y23" s="2127"/>
      <c r="Z23" s="2127"/>
      <c r="AA23" s="2127"/>
      <c r="AB23" s="2110">
        <v>44784</v>
      </c>
      <c r="AC23" s="1988"/>
      <c r="AD23" s="1988"/>
      <c r="AE23" s="1988"/>
      <c r="AF23" s="2037"/>
    </row>
    <row r="24" spans="2:42" ht="15" customHeight="1">
      <c r="B24" s="2121" t="s">
        <v>24</v>
      </c>
      <c r="C24" s="2122"/>
      <c r="D24" s="2122"/>
      <c r="E24" s="2122"/>
      <c r="F24" s="2122"/>
      <c r="G24" s="2122"/>
      <c r="H24" s="2122"/>
      <c r="I24" s="556" t="s">
        <v>643</v>
      </c>
      <c r="J24" s="557"/>
      <c r="K24" s="557"/>
      <c r="L24" s="557"/>
      <c r="M24" s="557"/>
      <c r="N24" s="557"/>
      <c r="O24" s="557"/>
      <c r="P24" s="557"/>
      <c r="Q24" s="557"/>
      <c r="R24" s="557"/>
      <c r="S24" s="557"/>
      <c r="T24" s="558"/>
      <c r="U24" s="2127" t="s">
        <v>35</v>
      </c>
      <c r="V24" s="2127"/>
      <c r="W24" s="2127"/>
      <c r="X24" s="2127"/>
      <c r="Y24" s="2127"/>
      <c r="Z24" s="2127"/>
      <c r="AA24" s="2127"/>
      <c r="AB24" s="2110">
        <v>44785</v>
      </c>
      <c r="AC24" s="1988"/>
      <c r="AD24" s="1988"/>
      <c r="AE24" s="1988"/>
      <c r="AF24" s="2037"/>
      <c r="AJ24" s="263"/>
    </row>
    <row r="25" spans="2:42" ht="15" customHeight="1">
      <c r="B25" s="1933" t="s">
        <v>1097</v>
      </c>
      <c r="C25" s="1933"/>
      <c r="D25" s="1933"/>
      <c r="E25" s="1933"/>
      <c r="F25" s="1933"/>
      <c r="G25" s="1933"/>
      <c r="H25" s="1934"/>
      <c r="I25" s="1119" t="s">
        <v>1113</v>
      </c>
      <c r="J25" s="1120"/>
      <c r="K25" s="1120"/>
      <c r="L25" s="1120"/>
      <c r="M25" s="1120"/>
      <c r="N25" s="1130" t="s">
        <v>1110</v>
      </c>
      <c r="O25" s="1120"/>
      <c r="P25" s="1120"/>
      <c r="Q25" s="1120"/>
      <c r="R25" s="1120"/>
      <c r="S25" s="1121"/>
      <c r="T25" s="1122"/>
      <c r="U25" s="2127" t="s">
        <v>25</v>
      </c>
      <c r="V25" s="2127"/>
      <c r="W25" s="2127"/>
      <c r="X25" s="2127"/>
      <c r="Y25" s="2127"/>
      <c r="Z25" s="2127"/>
      <c r="AA25" s="2127"/>
      <c r="AB25" s="2110">
        <v>44819</v>
      </c>
      <c r="AC25" s="1988"/>
      <c r="AD25" s="1988"/>
      <c r="AE25" s="1988"/>
      <c r="AF25" s="2037"/>
      <c r="AJ25" s="263"/>
    </row>
    <row r="26" spans="2:42" ht="15" customHeight="1">
      <c r="B26" s="1935" t="s">
        <v>1098</v>
      </c>
      <c r="C26" s="1935"/>
      <c r="D26" s="1935"/>
      <c r="E26" s="1935"/>
      <c r="F26" s="1935"/>
      <c r="G26" s="1935"/>
      <c r="H26" s="1936"/>
      <c r="I26" s="1956" t="s">
        <v>1114</v>
      </c>
      <c r="J26" s="1957"/>
      <c r="K26" s="1957"/>
      <c r="L26" s="1957"/>
      <c r="M26" s="1957"/>
      <c r="N26" s="1958" t="s">
        <v>1115</v>
      </c>
      <c r="O26" s="1957"/>
      <c r="P26" s="1957"/>
      <c r="Q26" s="1957"/>
      <c r="R26" s="1957"/>
      <c r="S26" s="1959"/>
      <c r="T26" s="1960"/>
      <c r="U26" s="1963" t="s">
        <v>1116</v>
      </c>
      <c r="V26" s="1964"/>
      <c r="W26" s="1964"/>
      <c r="X26" s="1964"/>
      <c r="Y26" s="1964"/>
      <c r="Z26" s="1964"/>
      <c r="AA26" s="1965"/>
      <c r="AB26" s="1969">
        <f>AB25+I28</f>
        <v>45092</v>
      </c>
      <c r="AC26" s="1970"/>
      <c r="AD26" s="1970"/>
      <c r="AE26" s="1970"/>
      <c r="AF26" s="1970"/>
      <c r="AJ26" s="263"/>
    </row>
    <row r="27" spans="2:42" ht="15" customHeight="1">
      <c r="B27" s="1937" t="s">
        <v>1099</v>
      </c>
      <c r="C27" s="1937"/>
      <c r="D27" s="1937"/>
      <c r="E27" s="1937"/>
      <c r="F27" s="1937"/>
      <c r="G27" s="1937"/>
      <c r="H27" s="1938"/>
      <c r="I27" s="1123" t="s">
        <v>646</v>
      </c>
      <c r="J27" s="1124"/>
      <c r="K27" s="1124"/>
      <c r="L27" s="1124"/>
      <c r="M27" s="1124"/>
      <c r="N27" s="1129" t="s">
        <v>647</v>
      </c>
      <c r="O27" s="1124"/>
      <c r="P27" s="1124"/>
      <c r="Q27" s="1124"/>
      <c r="R27" s="1124"/>
      <c r="S27" s="1125"/>
      <c r="T27" s="1126"/>
      <c r="U27" s="1966"/>
      <c r="V27" s="1967"/>
      <c r="W27" s="1967"/>
      <c r="X27" s="1967"/>
      <c r="Y27" s="1967"/>
      <c r="Z27" s="1967"/>
      <c r="AA27" s="1968"/>
      <c r="AB27" s="1971"/>
      <c r="AC27" s="1972"/>
      <c r="AD27" s="1972"/>
      <c r="AE27" s="1972"/>
      <c r="AF27" s="1972"/>
      <c r="AH27" s="263">
        <v>45150</v>
      </c>
      <c r="AI27" s="577" t="s">
        <v>934</v>
      </c>
      <c r="AJ27" s="833"/>
    </row>
    <row r="28" spans="2:42" ht="15" customHeight="1">
      <c r="B28" s="1937" t="s">
        <v>1100</v>
      </c>
      <c r="C28" s="1937"/>
      <c r="D28" s="1937"/>
      <c r="E28" s="1937"/>
      <c r="F28" s="1937"/>
      <c r="G28" s="1937"/>
      <c r="H28" s="1938"/>
      <c r="I28" s="1123" t="s">
        <v>1109</v>
      </c>
      <c r="J28" s="1124"/>
      <c r="K28" s="1124"/>
      <c r="L28" s="1124"/>
      <c r="M28" s="1124"/>
      <c r="N28" s="1129" t="s">
        <v>1110</v>
      </c>
      <c r="O28" s="1124"/>
      <c r="P28" s="1124"/>
      <c r="Q28" s="1124"/>
      <c r="R28" s="1124"/>
      <c r="S28" s="1125"/>
      <c r="T28" s="1126"/>
      <c r="U28" s="2164" t="s">
        <v>27</v>
      </c>
      <c r="V28" s="2165"/>
      <c r="W28" s="2165"/>
      <c r="X28" s="2165"/>
      <c r="Y28" s="2165"/>
      <c r="Z28" s="2165"/>
      <c r="AA28" s="2166"/>
      <c r="AB28" s="2170">
        <f>AB24+I26+1</f>
        <v>45181</v>
      </c>
      <c r="AC28" s="2171"/>
      <c r="AD28" s="2171"/>
      <c r="AE28" s="2171"/>
      <c r="AF28" s="2171"/>
      <c r="AH28" s="1">
        <f>183+90</f>
        <v>273</v>
      </c>
      <c r="AI28" s="577" t="s">
        <v>1111</v>
      </c>
      <c r="AJ28" s="833"/>
    </row>
    <row r="29" spans="2:42" ht="15" customHeight="1">
      <c r="B29" s="1664" t="s">
        <v>310</v>
      </c>
      <c r="C29" s="1664"/>
      <c r="D29" s="1664"/>
      <c r="E29" s="1664"/>
      <c r="F29" s="1664"/>
      <c r="G29" s="1664"/>
      <c r="H29" s="1587"/>
      <c r="I29" s="2174">
        <v>2903914.82</v>
      </c>
      <c r="J29" s="2175"/>
      <c r="K29" s="2175"/>
      <c r="L29" s="2175"/>
      <c r="M29" s="2175"/>
      <c r="N29" s="2175"/>
      <c r="O29" s="2175"/>
      <c r="P29" s="2175"/>
      <c r="Q29" s="2175"/>
      <c r="R29" s="2175"/>
      <c r="S29" s="2175"/>
      <c r="T29" s="2176"/>
      <c r="U29" s="2167"/>
      <c r="V29" s="2168"/>
      <c r="W29" s="2168"/>
      <c r="X29" s="2168"/>
      <c r="Y29" s="2168"/>
      <c r="Z29" s="2168"/>
      <c r="AA29" s="2169"/>
      <c r="AB29" s="2172"/>
      <c r="AC29" s="2173"/>
      <c r="AD29" s="2173"/>
      <c r="AE29" s="2173"/>
      <c r="AF29" s="2173"/>
      <c r="AH29" s="1">
        <f>270+90+30</f>
        <v>390</v>
      </c>
      <c r="AI29" s="577" t="s">
        <v>1112</v>
      </c>
      <c r="AJ29" s="833"/>
    </row>
    <row r="30" spans="2:42" ht="15" customHeight="1">
      <c r="B30" s="1930" t="s">
        <v>1105</v>
      </c>
      <c r="C30" s="1930"/>
      <c r="D30" s="1930"/>
      <c r="E30" s="1930"/>
      <c r="F30" s="1930"/>
      <c r="G30" s="1930"/>
      <c r="H30" s="1939"/>
      <c r="I30" s="2174">
        <f>'10 - EVOLUÇÃO FINANCEIRA'!B4+'10 - EVOLUÇÃO FINANCEIRA'!J4+0.01</f>
        <v>3620288.7899999996</v>
      </c>
      <c r="J30" s="2175"/>
      <c r="K30" s="2175"/>
      <c r="L30" s="2175"/>
      <c r="M30" s="2175"/>
      <c r="N30" s="2175"/>
      <c r="O30" s="2175"/>
      <c r="P30" s="2175"/>
      <c r="Q30" s="2175"/>
      <c r="R30" s="2175"/>
      <c r="S30" s="2175"/>
      <c r="T30" s="2176"/>
      <c r="U30" s="2127" t="s">
        <v>29</v>
      </c>
      <c r="V30" s="2127"/>
      <c r="W30" s="2127"/>
      <c r="X30" s="2127"/>
      <c r="Y30" s="2127"/>
      <c r="Z30" s="2127"/>
      <c r="AA30" s="2127"/>
      <c r="AB30" s="2126" t="s">
        <v>645</v>
      </c>
      <c r="AC30" s="2126"/>
      <c r="AD30" s="2126"/>
      <c r="AE30" s="2126"/>
      <c r="AF30" s="2113"/>
      <c r="AI30" s="577"/>
      <c r="AJ30" s="263"/>
    </row>
    <row r="31" spans="2:42" ht="15" customHeight="1">
      <c r="B31" s="2152" t="s">
        <v>28</v>
      </c>
      <c r="C31" s="2152"/>
      <c r="D31" s="2152"/>
      <c r="E31" s="2152"/>
      <c r="F31" s="2152"/>
      <c r="G31" s="2152"/>
      <c r="H31" s="2153"/>
      <c r="I31" s="2158" t="s">
        <v>775</v>
      </c>
      <c r="J31" s="2159"/>
      <c r="K31" s="2159"/>
      <c r="L31" s="2159"/>
      <c r="M31" s="2159"/>
      <c r="N31" s="2159"/>
      <c r="O31" s="2159"/>
      <c r="P31" s="2159"/>
      <c r="Q31" s="2159"/>
      <c r="R31" s="2159"/>
      <c r="S31" s="2159"/>
      <c r="T31" s="2159"/>
      <c r="U31" s="2159"/>
      <c r="V31" s="2159"/>
      <c r="W31" s="2159"/>
      <c r="X31" s="2159"/>
      <c r="Y31" s="2159"/>
      <c r="Z31" s="2159"/>
      <c r="AA31" s="2159"/>
      <c r="AB31" s="2159"/>
      <c r="AC31" s="2159"/>
      <c r="AD31" s="2159"/>
      <c r="AE31" s="2159"/>
      <c r="AF31" s="2159"/>
      <c r="AH31" s="263"/>
      <c r="AI31" s="577"/>
      <c r="AJ31" s="263"/>
    </row>
    <row r="32" spans="2:42" ht="15" customHeight="1">
      <c r="B32" s="2154"/>
      <c r="C32" s="2154"/>
      <c r="D32" s="2154"/>
      <c r="E32" s="2154"/>
      <c r="F32" s="2154"/>
      <c r="G32" s="2154"/>
      <c r="H32" s="2155"/>
      <c r="I32" s="2160"/>
      <c r="J32" s="2161"/>
      <c r="K32" s="2161"/>
      <c r="L32" s="2161"/>
      <c r="M32" s="2161"/>
      <c r="N32" s="2161"/>
      <c r="O32" s="2161"/>
      <c r="P32" s="2161"/>
      <c r="Q32" s="2161"/>
      <c r="R32" s="2161"/>
      <c r="S32" s="2161"/>
      <c r="T32" s="2161"/>
      <c r="U32" s="2161"/>
      <c r="V32" s="2161"/>
      <c r="W32" s="2161"/>
      <c r="X32" s="2161"/>
      <c r="Y32" s="2161"/>
      <c r="Z32" s="2161"/>
      <c r="AA32" s="2161"/>
      <c r="AB32" s="2161"/>
      <c r="AC32" s="2161"/>
      <c r="AD32" s="2161"/>
      <c r="AE32" s="2161"/>
      <c r="AF32" s="2161"/>
      <c r="AI32" s="577" t="s">
        <v>927</v>
      </c>
      <c r="AJ32" s="263"/>
      <c r="AL32" s="1" t="s">
        <v>929</v>
      </c>
      <c r="AP32" s="263">
        <v>44819</v>
      </c>
    </row>
    <row r="33" spans="2:44" ht="15" customHeight="1">
      <c r="B33" s="2154"/>
      <c r="C33" s="2154"/>
      <c r="D33" s="2154"/>
      <c r="E33" s="2154"/>
      <c r="F33" s="2154"/>
      <c r="G33" s="2154"/>
      <c r="H33" s="2155"/>
      <c r="I33" s="2160"/>
      <c r="J33" s="2161"/>
      <c r="K33" s="2161"/>
      <c r="L33" s="2161"/>
      <c r="M33" s="2161"/>
      <c r="N33" s="2161"/>
      <c r="O33" s="2161"/>
      <c r="P33" s="2161"/>
      <c r="Q33" s="2161"/>
      <c r="R33" s="2161"/>
      <c r="S33" s="2161"/>
      <c r="T33" s="2161"/>
      <c r="U33" s="2161"/>
      <c r="V33" s="2161"/>
      <c r="W33" s="2161"/>
      <c r="X33" s="2161"/>
      <c r="Y33" s="2161"/>
      <c r="Z33" s="2161"/>
      <c r="AA33" s="2161"/>
      <c r="AB33" s="2161"/>
      <c r="AC33" s="2161"/>
      <c r="AD33" s="2161"/>
      <c r="AE33" s="2161"/>
      <c r="AF33" s="2161"/>
      <c r="AI33" s="577" t="s">
        <v>928</v>
      </c>
      <c r="AJ33" s="263"/>
      <c r="AL33" s="1" t="s">
        <v>930</v>
      </c>
      <c r="AP33" s="263">
        <v>45059</v>
      </c>
    </row>
    <row r="34" spans="2:44" ht="15" customHeight="1">
      <c r="B34" s="2154"/>
      <c r="C34" s="2154"/>
      <c r="D34" s="2154"/>
      <c r="E34" s="2154"/>
      <c r="F34" s="2154"/>
      <c r="G34" s="2154"/>
      <c r="H34" s="2155"/>
      <c r="I34" s="2160"/>
      <c r="J34" s="2161"/>
      <c r="K34" s="2161"/>
      <c r="L34" s="2161"/>
      <c r="M34" s="2161"/>
      <c r="N34" s="2161"/>
      <c r="O34" s="2161"/>
      <c r="P34" s="2161"/>
      <c r="Q34" s="2161"/>
      <c r="R34" s="2161"/>
      <c r="S34" s="2161"/>
      <c r="T34" s="2161"/>
      <c r="U34" s="2161"/>
      <c r="V34" s="2161"/>
      <c r="W34" s="2161"/>
      <c r="X34" s="2161"/>
      <c r="Y34" s="2161"/>
      <c r="Z34" s="2161"/>
      <c r="AA34" s="2161"/>
      <c r="AB34" s="2161"/>
      <c r="AC34" s="2161"/>
      <c r="AD34" s="2161"/>
      <c r="AE34" s="2161"/>
      <c r="AF34" s="2161"/>
      <c r="AI34" s="263"/>
    </row>
    <row r="35" spans="2:44" ht="15" customHeight="1">
      <c r="B35" s="2156"/>
      <c r="C35" s="2156"/>
      <c r="D35" s="2156"/>
      <c r="E35" s="2156"/>
      <c r="F35" s="2156"/>
      <c r="G35" s="2156"/>
      <c r="H35" s="2157"/>
      <c r="I35" s="2162"/>
      <c r="J35" s="2163"/>
      <c r="K35" s="2163"/>
      <c r="L35" s="2163"/>
      <c r="M35" s="2163"/>
      <c r="N35" s="2163"/>
      <c r="O35" s="2163"/>
      <c r="P35" s="2163"/>
      <c r="Q35" s="2163"/>
      <c r="R35" s="2163"/>
      <c r="S35" s="2163"/>
      <c r="T35" s="2163"/>
      <c r="U35" s="2163"/>
      <c r="V35" s="2163"/>
      <c r="W35" s="2163"/>
      <c r="X35" s="2163"/>
      <c r="Y35" s="2163"/>
      <c r="Z35" s="2163"/>
      <c r="AA35" s="2163"/>
      <c r="AB35" s="2163"/>
      <c r="AC35" s="2163"/>
      <c r="AD35" s="2163"/>
      <c r="AE35" s="2163"/>
      <c r="AF35" s="2163"/>
      <c r="AL35" s="2288" t="s">
        <v>931</v>
      </c>
      <c r="AM35" s="2288"/>
      <c r="AN35" s="2288"/>
      <c r="AO35" s="2288"/>
      <c r="AP35" s="1473">
        <f>AP33+91</f>
        <v>45150</v>
      </c>
      <c r="AR35" s="1" t="s">
        <v>933</v>
      </c>
    </row>
    <row r="36" spans="2:44" ht="15" customHeight="1">
      <c r="B36" s="2121" t="s">
        <v>30</v>
      </c>
      <c r="C36" s="2122"/>
      <c r="D36" s="2122"/>
      <c r="E36" s="2122"/>
      <c r="F36" s="2122"/>
      <c r="G36" s="2122"/>
      <c r="H36" s="2122"/>
      <c r="I36" s="2112" t="s">
        <v>723</v>
      </c>
      <c r="J36" s="1988"/>
      <c r="K36" s="1988"/>
      <c r="L36" s="1988"/>
      <c r="M36" s="1988"/>
      <c r="N36" s="1988"/>
      <c r="O36" s="1988"/>
      <c r="P36" s="1988"/>
      <c r="Q36" s="1988"/>
      <c r="R36" s="1988"/>
      <c r="S36" s="1988"/>
      <c r="T36" s="1988"/>
      <c r="U36" s="2131" t="s">
        <v>31</v>
      </c>
      <c r="V36" s="2111"/>
      <c r="W36" s="2111"/>
      <c r="X36" s="2111"/>
      <c r="Y36" s="2111"/>
      <c r="Z36" s="2111"/>
      <c r="AA36" s="2111"/>
      <c r="AB36" s="2132" t="s">
        <v>560</v>
      </c>
      <c r="AC36" s="2132"/>
      <c r="AD36" s="2132"/>
      <c r="AE36" s="2132"/>
      <c r="AF36" s="2133"/>
      <c r="AH36" s="263"/>
      <c r="AL36" s="2288"/>
      <c r="AM36" s="2288"/>
      <c r="AN36" s="2288"/>
      <c r="AO36" s="2288"/>
      <c r="AP36" s="997"/>
    </row>
    <row r="37" spans="2:44" ht="15" customHeight="1">
      <c r="B37" s="2121" t="s">
        <v>32</v>
      </c>
      <c r="C37" s="2122"/>
      <c r="D37" s="2122"/>
      <c r="E37" s="2122"/>
      <c r="F37" s="2122"/>
      <c r="G37" s="2122"/>
      <c r="H37" s="2122"/>
      <c r="I37" s="2112" t="s">
        <v>701</v>
      </c>
      <c r="J37" s="1988"/>
      <c r="K37" s="1988"/>
      <c r="L37" s="1988"/>
      <c r="M37" s="1988"/>
      <c r="N37" s="1988"/>
      <c r="O37" s="1988"/>
      <c r="P37" s="1988"/>
      <c r="Q37" s="1988"/>
      <c r="R37" s="1988"/>
      <c r="S37" s="1988"/>
      <c r="T37" s="1988"/>
      <c r="U37" s="2128" t="s">
        <v>31</v>
      </c>
      <c r="V37" s="2128"/>
      <c r="W37" s="2128"/>
      <c r="X37" s="2128"/>
      <c r="Y37" s="2128"/>
      <c r="Z37" s="2128"/>
      <c r="AA37" s="2128"/>
      <c r="AB37" s="2129" t="s">
        <v>560</v>
      </c>
      <c r="AC37" s="2129"/>
      <c r="AD37" s="2129"/>
      <c r="AE37" s="2129"/>
      <c r="AF37" s="2130"/>
      <c r="AH37" s="263"/>
      <c r="AM37" s="1" t="s">
        <v>932</v>
      </c>
    </row>
    <row r="38" spans="2:44" ht="15" customHeight="1">
      <c r="B38" s="2137" t="s">
        <v>299</v>
      </c>
      <c r="C38" s="2138"/>
      <c r="D38" s="2138"/>
      <c r="E38" s="2138"/>
      <c r="F38" s="2138"/>
      <c r="G38" s="2138"/>
      <c r="H38" s="2138"/>
      <c r="I38" s="2138"/>
      <c r="J38" s="2138"/>
      <c r="K38" s="2138"/>
      <c r="L38" s="2138"/>
      <c r="M38" s="2138"/>
      <c r="N38" s="2138"/>
      <c r="O38" s="2138"/>
      <c r="P38" s="2138"/>
      <c r="Q38" s="2138"/>
      <c r="R38" s="2138"/>
      <c r="S38" s="2138"/>
      <c r="T38" s="2138"/>
      <c r="U38" s="2138"/>
      <c r="V38" s="2138"/>
      <c r="W38" s="2138"/>
      <c r="X38" s="2138"/>
      <c r="Y38" s="2138"/>
      <c r="Z38" s="2138"/>
      <c r="AA38" s="2138"/>
      <c r="AB38" s="2138"/>
      <c r="AC38" s="2138"/>
      <c r="AD38" s="2138"/>
      <c r="AE38" s="2138"/>
      <c r="AF38" s="2139"/>
      <c r="AH38" s="2"/>
    </row>
    <row r="39" spans="2:44" ht="15" customHeight="1">
      <c r="B39" s="2137"/>
      <c r="C39" s="2138"/>
      <c r="D39" s="2138"/>
      <c r="E39" s="2138"/>
      <c r="F39" s="2138"/>
      <c r="G39" s="2138"/>
      <c r="H39" s="2138"/>
      <c r="I39" s="2138"/>
      <c r="J39" s="2138"/>
      <c r="K39" s="2138"/>
      <c r="L39" s="2138"/>
      <c r="M39" s="2138"/>
      <c r="N39" s="2138"/>
      <c r="O39" s="2138"/>
      <c r="P39" s="2138"/>
      <c r="Q39" s="2138"/>
      <c r="R39" s="2138"/>
      <c r="S39" s="2138"/>
      <c r="T39" s="2138"/>
      <c r="U39" s="2138"/>
      <c r="V39" s="2138"/>
      <c r="W39" s="2138"/>
      <c r="X39" s="2138"/>
      <c r="Y39" s="2138"/>
      <c r="Z39" s="2138"/>
      <c r="AA39" s="2138"/>
      <c r="AB39" s="2138"/>
      <c r="AC39" s="2138"/>
      <c r="AD39" s="2138"/>
      <c r="AE39" s="2138"/>
      <c r="AF39" s="2139"/>
    </row>
    <row r="40" spans="2:44" ht="15" hidden="1" customHeight="1">
      <c r="B40" s="2082" t="s">
        <v>77</v>
      </c>
      <c r="C40" s="2082"/>
      <c r="D40" s="2082"/>
      <c r="E40" s="2082"/>
      <c r="F40" s="2082"/>
      <c r="G40" s="2082"/>
      <c r="H40" s="2082"/>
      <c r="I40" s="2082"/>
      <c r="J40" s="2082"/>
      <c r="K40" s="2082"/>
      <c r="L40" s="2083"/>
      <c r="M40" s="2037"/>
      <c r="N40" s="2038"/>
      <c r="O40" s="2038"/>
      <c r="P40" s="2038"/>
      <c r="Q40" s="2038"/>
      <c r="R40" s="2038"/>
      <c r="S40" s="2038"/>
      <c r="T40" s="2038"/>
      <c r="U40" s="2038"/>
      <c r="V40" s="2038"/>
      <c r="W40" s="2038"/>
      <c r="X40" s="2038"/>
      <c r="Y40" s="2038"/>
      <c r="Z40" s="2038"/>
      <c r="AA40" s="2038"/>
      <c r="AB40" s="2038"/>
      <c r="AC40" s="2038"/>
      <c r="AD40" s="2038"/>
      <c r="AE40" s="2038"/>
      <c r="AF40" s="2038"/>
    </row>
    <row r="41" spans="2:44" ht="33.75" hidden="1" customHeight="1">
      <c r="B41" s="2082" t="s">
        <v>224</v>
      </c>
      <c r="C41" s="2082"/>
      <c r="D41" s="2082"/>
      <c r="E41" s="2082"/>
      <c r="F41" s="2082"/>
      <c r="G41" s="2082"/>
      <c r="H41" s="2082"/>
      <c r="I41" s="2082"/>
      <c r="J41" s="2082"/>
      <c r="K41" s="2082"/>
      <c r="L41" s="2083"/>
      <c r="M41" s="2080"/>
      <c r="N41" s="2081"/>
      <c r="O41" s="2081"/>
      <c r="P41" s="2081"/>
      <c r="Q41" s="2081"/>
      <c r="R41" s="2081"/>
      <c r="S41" s="2081"/>
      <c r="T41" s="2081"/>
      <c r="U41" s="2081"/>
      <c r="V41" s="2081"/>
      <c r="W41" s="2081"/>
      <c r="X41" s="2081"/>
      <c r="Y41" s="2081"/>
      <c r="Z41" s="2081"/>
      <c r="AA41" s="2081"/>
      <c r="AB41" s="2081"/>
      <c r="AC41" s="2081"/>
      <c r="AD41" s="2081"/>
      <c r="AE41" s="2081"/>
      <c r="AF41" s="2081"/>
    </row>
    <row r="42" spans="2:44" ht="40.5" hidden="1" customHeight="1">
      <c r="B42" s="2082" t="s">
        <v>295</v>
      </c>
      <c r="C42" s="2082"/>
      <c r="D42" s="2082"/>
      <c r="E42" s="2082"/>
      <c r="F42" s="2082"/>
      <c r="G42" s="2082"/>
      <c r="H42" s="2082"/>
      <c r="I42" s="2082"/>
      <c r="J42" s="2082"/>
      <c r="K42" s="2082"/>
      <c r="L42" s="2083"/>
      <c r="M42" s="2080"/>
      <c r="N42" s="2081"/>
      <c r="O42" s="2081"/>
      <c r="P42" s="2081"/>
      <c r="Q42" s="2081"/>
      <c r="R42" s="2081"/>
      <c r="S42" s="2081"/>
      <c r="T42" s="2081"/>
      <c r="U42" s="2081"/>
      <c r="V42" s="2081"/>
      <c r="W42" s="2081"/>
      <c r="X42" s="2081"/>
      <c r="Y42" s="2081"/>
      <c r="Z42" s="2081"/>
      <c r="AA42" s="2081"/>
      <c r="AB42" s="2081"/>
      <c r="AC42" s="2081"/>
      <c r="AD42" s="2081"/>
      <c r="AE42" s="2081"/>
      <c r="AF42" s="2081"/>
    </row>
    <row r="43" spans="2:44" ht="43.5" hidden="1" customHeight="1">
      <c r="B43" s="2082" t="s">
        <v>296</v>
      </c>
      <c r="C43" s="2082"/>
      <c r="D43" s="2082"/>
      <c r="E43" s="2082"/>
      <c r="F43" s="2082"/>
      <c r="G43" s="2082"/>
      <c r="H43" s="2082"/>
      <c r="I43" s="2082"/>
      <c r="J43" s="2082"/>
      <c r="K43" s="2082"/>
      <c r="L43" s="2083"/>
      <c r="M43" s="2080"/>
      <c r="N43" s="2081"/>
      <c r="O43" s="2081"/>
      <c r="P43" s="2081"/>
      <c r="Q43" s="2081"/>
      <c r="R43" s="2081"/>
      <c r="S43" s="2081"/>
      <c r="T43" s="2081"/>
      <c r="U43" s="2081"/>
      <c r="V43" s="2081"/>
      <c r="W43" s="2081"/>
      <c r="X43" s="2081"/>
      <c r="Y43" s="2081"/>
      <c r="Z43" s="2081"/>
      <c r="AA43" s="2081"/>
      <c r="AB43" s="2081"/>
      <c r="AC43" s="2081"/>
      <c r="AD43" s="2081"/>
      <c r="AE43" s="2081"/>
      <c r="AF43" s="2081"/>
    </row>
    <row r="44" spans="2:44" ht="27" hidden="1" customHeight="1">
      <c r="B44" s="2082" t="s">
        <v>225</v>
      </c>
      <c r="C44" s="2082"/>
      <c r="D44" s="2082"/>
      <c r="E44" s="2082"/>
      <c r="F44" s="2082"/>
      <c r="G44" s="2082"/>
      <c r="H44" s="2082"/>
      <c r="I44" s="2082"/>
      <c r="J44" s="2082"/>
      <c r="K44" s="2082"/>
      <c r="L44" s="2083"/>
      <c r="M44" s="2080"/>
      <c r="N44" s="2081"/>
      <c r="O44" s="2081"/>
      <c r="P44" s="2081"/>
      <c r="Q44" s="2081"/>
      <c r="R44" s="2081"/>
      <c r="S44" s="2081"/>
      <c r="T44" s="2081"/>
      <c r="U44" s="2081"/>
      <c r="V44" s="2081"/>
      <c r="W44" s="2081"/>
      <c r="X44" s="2081"/>
      <c r="Y44" s="2081"/>
      <c r="Z44" s="2081"/>
      <c r="AA44" s="2081"/>
      <c r="AB44" s="2081"/>
      <c r="AC44" s="2081"/>
      <c r="AD44" s="2081"/>
      <c r="AE44" s="2081"/>
      <c r="AF44" s="2081"/>
    </row>
    <row r="45" spans="2:44" ht="21" hidden="1" customHeight="1">
      <c r="B45" s="2082" t="s">
        <v>297</v>
      </c>
      <c r="C45" s="2082"/>
      <c r="D45" s="2082"/>
      <c r="E45" s="2082"/>
      <c r="F45" s="2082"/>
      <c r="G45" s="2082"/>
      <c r="H45" s="2082"/>
      <c r="I45" s="2082"/>
      <c r="J45" s="2082"/>
      <c r="K45" s="2082"/>
      <c r="L45" s="2083"/>
      <c r="M45" s="2080"/>
      <c r="N45" s="2081"/>
      <c r="O45" s="2081"/>
      <c r="P45" s="2081"/>
      <c r="Q45" s="2081"/>
      <c r="R45" s="2081"/>
      <c r="S45" s="2081"/>
      <c r="T45" s="2081"/>
      <c r="U45" s="2081"/>
      <c r="V45" s="2081"/>
      <c r="W45" s="2081"/>
      <c r="X45" s="2081"/>
      <c r="Y45" s="2081"/>
      <c r="Z45" s="2081"/>
      <c r="AA45" s="2081"/>
      <c r="AB45" s="2081"/>
      <c r="AC45" s="2081"/>
      <c r="AD45" s="2081"/>
      <c r="AE45" s="2081"/>
      <c r="AF45" s="2081"/>
      <c r="AH45" s="263"/>
    </row>
    <row r="46" spans="2:44" ht="35.25" hidden="1" customHeight="1">
      <c r="B46" s="2082" t="s">
        <v>298</v>
      </c>
      <c r="C46" s="2082"/>
      <c r="D46" s="2082"/>
      <c r="E46" s="2082"/>
      <c r="F46" s="2082"/>
      <c r="G46" s="2082"/>
      <c r="H46" s="2082"/>
      <c r="I46" s="2082"/>
      <c r="J46" s="2082"/>
      <c r="K46" s="2082"/>
      <c r="L46" s="2083"/>
      <c r="M46" s="2080"/>
      <c r="N46" s="2081"/>
      <c r="O46" s="2081"/>
      <c r="P46" s="2081"/>
      <c r="Q46" s="2081"/>
      <c r="R46" s="2081"/>
      <c r="S46" s="2081"/>
      <c r="T46" s="2081"/>
      <c r="U46" s="2081"/>
      <c r="V46" s="2081"/>
      <c r="W46" s="2081"/>
      <c r="X46" s="2081"/>
      <c r="Y46" s="2081"/>
      <c r="Z46" s="2081"/>
      <c r="AA46" s="2081"/>
      <c r="AB46" s="2081"/>
      <c r="AC46" s="2081"/>
      <c r="AD46" s="2081"/>
      <c r="AE46" s="2081"/>
      <c r="AF46" s="2081"/>
    </row>
    <row r="47" spans="2:44" ht="43.5" hidden="1" customHeight="1">
      <c r="B47" s="2094" t="s">
        <v>401</v>
      </c>
      <c r="C47" s="2094"/>
      <c r="D47" s="2094"/>
      <c r="E47" s="2094"/>
      <c r="F47" s="2094"/>
      <c r="G47" s="2094"/>
      <c r="H47" s="2094"/>
      <c r="I47" s="2094"/>
      <c r="J47" s="2094"/>
      <c r="K47" s="2094"/>
      <c r="L47" s="2095"/>
      <c r="M47" s="2080"/>
      <c r="N47" s="2081"/>
      <c r="O47" s="2081"/>
      <c r="P47" s="2081"/>
      <c r="Q47" s="2081"/>
      <c r="R47" s="2081"/>
      <c r="S47" s="2081"/>
      <c r="T47" s="2081"/>
      <c r="U47" s="2081"/>
      <c r="V47" s="2081"/>
      <c r="W47" s="2081"/>
      <c r="X47" s="2081"/>
      <c r="Y47" s="2081"/>
      <c r="Z47" s="2081"/>
      <c r="AA47" s="2081"/>
      <c r="AB47" s="2081"/>
      <c r="AC47" s="2081"/>
      <c r="AD47" s="2081"/>
      <c r="AE47" s="2081"/>
      <c r="AF47" s="2081"/>
    </row>
    <row r="48" spans="2:44" ht="26.25" hidden="1" customHeight="1">
      <c r="B48" s="2094" t="s">
        <v>402</v>
      </c>
      <c r="C48" s="2094"/>
      <c r="D48" s="2094"/>
      <c r="E48" s="2094"/>
      <c r="F48" s="2094"/>
      <c r="G48" s="2094"/>
      <c r="H48" s="2094"/>
      <c r="I48" s="2094"/>
      <c r="J48" s="2094"/>
      <c r="K48" s="2094"/>
      <c r="L48" s="2095"/>
      <c r="M48" s="2080"/>
      <c r="N48" s="2081"/>
      <c r="O48" s="2081"/>
      <c r="P48" s="2081"/>
      <c r="Q48" s="2081"/>
      <c r="R48" s="2081"/>
      <c r="S48" s="2081"/>
      <c r="T48" s="2081"/>
      <c r="U48" s="2081"/>
      <c r="V48" s="2081"/>
      <c r="W48" s="2081"/>
      <c r="X48" s="2081"/>
      <c r="Y48" s="2081"/>
      <c r="Z48" s="2081"/>
      <c r="AA48" s="2081"/>
      <c r="AB48" s="2081"/>
      <c r="AC48" s="2081"/>
      <c r="AD48" s="2081"/>
      <c r="AE48" s="2081"/>
      <c r="AF48" s="2081"/>
    </row>
    <row r="49" spans="2:33" ht="30" hidden="1" customHeight="1">
      <c r="B49" s="799" t="s">
        <v>603</v>
      </c>
      <c r="C49" s="799"/>
      <c r="D49" s="799"/>
      <c r="E49" s="799"/>
      <c r="F49" s="799"/>
      <c r="G49" s="799"/>
      <c r="H49" s="799"/>
      <c r="I49" s="799"/>
      <c r="J49" s="799"/>
      <c r="K49" s="799"/>
      <c r="L49" s="798"/>
      <c r="M49" s="2028" t="s">
        <v>579</v>
      </c>
      <c r="N49" s="2029"/>
      <c r="O49" s="2029"/>
      <c r="P49" s="2029"/>
      <c r="Q49" s="2029"/>
      <c r="R49" s="1131"/>
      <c r="S49" s="1131"/>
      <c r="T49" s="1131"/>
      <c r="U49" s="1131"/>
      <c r="V49" s="1131"/>
      <c r="W49" s="1131"/>
      <c r="X49" s="1131"/>
      <c r="Y49" s="1131"/>
      <c r="Z49" s="1131"/>
      <c r="AA49" s="1131"/>
      <c r="AB49" s="1131"/>
      <c r="AC49" s="1131"/>
      <c r="AD49" s="1131"/>
      <c r="AE49" s="1131"/>
      <c r="AF49" s="1131"/>
    </row>
    <row r="50" spans="2:33" ht="28.5" hidden="1" customHeight="1">
      <c r="B50" s="799" t="s">
        <v>604</v>
      </c>
      <c r="C50" s="799"/>
      <c r="D50" s="799"/>
      <c r="E50" s="799"/>
      <c r="F50" s="799"/>
      <c r="G50" s="799"/>
      <c r="H50" s="799"/>
      <c r="I50" s="799"/>
      <c r="J50" s="799"/>
      <c r="K50" s="799"/>
      <c r="L50" s="798"/>
      <c r="M50" s="2028" t="s">
        <v>579</v>
      </c>
      <c r="N50" s="2029"/>
      <c r="O50" s="2029"/>
      <c r="P50" s="2029"/>
      <c r="Q50" s="2029"/>
      <c r="R50" s="1131"/>
      <c r="S50" s="1131"/>
      <c r="T50" s="1131"/>
      <c r="U50" s="1131"/>
      <c r="V50" s="1131"/>
      <c r="W50" s="1131"/>
      <c r="X50" s="1131"/>
      <c r="Y50" s="1131"/>
      <c r="Z50" s="1131"/>
      <c r="AA50" s="1131"/>
      <c r="AB50" s="1131"/>
      <c r="AC50" s="1131"/>
      <c r="AD50" s="1131"/>
      <c r="AE50" s="1131"/>
      <c r="AF50" s="1131"/>
    </row>
    <row r="51" spans="2:33" ht="24.75" hidden="1" customHeight="1">
      <c r="B51" s="799" t="s">
        <v>605</v>
      </c>
      <c r="C51" s="799"/>
      <c r="D51" s="799"/>
      <c r="E51" s="799"/>
      <c r="F51" s="799"/>
      <c r="G51" s="799"/>
      <c r="H51" s="799"/>
      <c r="I51" s="799"/>
      <c r="J51" s="799"/>
      <c r="K51" s="799"/>
      <c r="L51" s="798"/>
      <c r="M51" s="2028" t="s">
        <v>606</v>
      </c>
      <c r="N51" s="2029"/>
      <c r="O51" s="2029"/>
      <c r="P51" s="2029"/>
      <c r="Q51" s="2029"/>
      <c r="R51" s="1131"/>
      <c r="S51" s="1131"/>
      <c r="T51" s="1131"/>
      <c r="U51" s="1131"/>
      <c r="V51" s="1131"/>
      <c r="W51" s="1131"/>
      <c r="X51" s="1131"/>
      <c r="Y51" s="1131"/>
      <c r="Z51" s="1131"/>
      <c r="AA51" s="1131"/>
      <c r="AB51" s="1131"/>
      <c r="AC51" s="1131"/>
      <c r="AD51" s="1131"/>
      <c r="AE51" s="1131"/>
      <c r="AF51" s="1131"/>
    </row>
    <row r="52" spans="2:33" ht="15" customHeight="1">
      <c r="B52" s="1929" t="s">
        <v>1103</v>
      </c>
      <c r="C52" s="712"/>
      <c r="D52" s="712"/>
      <c r="E52" s="712"/>
      <c r="F52" s="712"/>
      <c r="G52" s="712"/>
      <c r="H52" s="1474"/>
      <c r="I52" s="1474"/>
      <c r="J52" s="1474"/>
      <c r="K52" s="1474"/>
      <c r="L52" s="1475"/>
      <c r="M52" s="1469" t="s">
        <v>1104</v>
      </c>
      <c r="N52" s="1470"/>
      <c r="O52" s="1470"/>
      <c r="P52" s="1470"/>
      <c r="Q52" s="1470"/>
      <c r="R52" s="1470"/>
      <c r="S52" s="1470"/>
      <c r="T52" s="1470"/>
      <c r="U52" s="1470"/>
      <c r="V52" s="1470"/>
      <c r="W52" s="1470"/>
      <c r="X52" s="1470"/>
      <c r="Y52" s="1470"/>
      <c r="Z52" s="1470"/>
      <c r="AA52" s="1470"/>
      <c r="AB52" s="1470"/>
      <c r="AC52" s="1470"/>
      <c r="AD52" s="1470"/>
      <c r="AE52" s="1470"/>
      <c r="AF52" s="1470"/>
      <c r="AG52" s="359"/>
    </row>
    <row r="53" spans="2:33" ht="15" customHeight="1">
      <c r="B53" s="1930" t="s">
        <v>1101</v>
      </c>
      <c r="C53" s="1930"/>
      <c r="D53" s="1930"/>
      <c r="E53" s="1930"/>
      <c r="F53" s="1930"/>
      <c r="G53" s="1930"/>
      <c r="H53" s="1931"/>
      <c r="I53" s="1931"/>
      <c r="J53" s="1931"/>
      <c r="K53" s="1931"/>
      <c r="L53" s="1932"/>
      <c r="M53" s="1961">
        <f>'10 - EVOLUÇÃO FINANCEIRA'!J4</f>
        <v>716373.96</v>
      </c>
      <c r="N53" s="1962"/>
      <c r="O53" s="1962"/>
      <c r="P53" s="1962"/>
      <c r="Q53" s="1962"/>
      <c r="R53" s="1962"/>
      <c r="S53" s="1962"/>
      <c r="T53" s="1962"/>
      <c r="U53" s="1962"/>
      <c r="V53" s="1962"/>
      <c r="W53" s="1962"/>
      <c r="X53" s="1962"/>
      <c r="Y53" s="1962"/>
      <c r="Z53" s="1962"/>
      <c r="AA53" s="1962"/>
      <c r="AB53" s="1962"/>
      <c r="AC53" s="1962"/>
      <c r="AD53" s="1962"/>
      <c r="AE53" s="1962"/>
      <c r="AF53" s="1962"/>
      <c r="AG53" s="359"/>
    </row>
    <row r="54" spans="2:33" ht="15" customHeight="1">
      <c r="B54" s="1930" t="s">
        <v>1102</v>
      </c>
      <c r="C54" s="1930"/>
      <c r="D54" s="1930"/>
      <c r="E54" s="1930"/>
      <c r="F54" s="1930"/>
      <c r="G54" s="1930"/>
      <c r="H54" s="1931"/>
      <c r="I54" s="1931"/>
      <c r="J54" s="1931"/>
      <c r="K54" s="1931"/>
      <c r="L54" s="1932"/>
      <c r="M54" s="1469" t="s">
        <v>1108</v>
      </c>
      <c r="N54" s="1470"/>
      <c r="O54" s="1470"/>
      <c r="P54" s="1470"/>
      <c r="Q54" s="1470"/>
      <c r="R54" s="1470"/>
      <c r="S54" s="1470"/>
      <c r="T54" s="1470"/>
      <c r="U54" s="1470"/>
      <c r="V54" s="1470"/>
      <c r="W54" s="1470"/>
      <c r="X54" s="1470"/>
      <c r="Y54" s="1470"/>
      <c r="Z54" s="1470"/>
      <c r="AA54" s="1470"/>
      <c r="AB54" s="1470"/>
      <c r="AC54" s="1470"/>
      <c r="AD54" s="1470"/>
      <c r="AE54" s="1470"/>
      <c r="AF54" s="1470"/>
      <c r="AG54" s="359"/>
    </row>
    <row r="55" spans="2:33" ht="15" customHeight="1">
      <c r="B55" s="2106" t="s">
        <v>90</v>
      </c>
      <c r="C55" s="2106"/>
      <c r="D55" s="2106"/>
      <c r="E55" s="2106"/>
      <c r="F55" s="2106"/>
      <c r="G55" s="2106"/>
      <c r="H55" s="2106"/>
      <c r="I55" s="2106"/>
      <c r="J55" s="2106"/>
      <c r="K55" s="2106"/>
      <c r="L55" s="2107"/>
      <c r="M55" s="2084">
        <f>'10 - EVOLUÇÃO FINANCEIRA'!G41</f>
        <v>3211391.3000000003</v>
      </c>
      <c r="N55" s="2085"/>
      <c r="O55" s="2085"/>
      <c r="P55" s="2085"/>
      <c r="Q55" s="2085"/>
      <c r="R55" s="2085"/>
      <c r="S55" s="2085"/>
      <c r="T55" s="2085"/>
      <c r="U55" s="2085"/>
      <c r="V55" s="2085"/>
      <c r="W55" s="2085"/>
      <c r="X55" s="2085"/>
      <c r="Y55" s="2085"/>
      <c r="Z55" s="2085"/>
      <c r="AA55" s="2085"/>
      <c r="AB55" s="2085"/>
      <c r="AC55" s="2085"/>
      <c r="AD55" s="2085"/>
      <c r="AE55" s="2085"/>
      <c r="AF55" s="2085"/>
    </row>
    <row r="56" spans="2:33" ht="15" customHeight="1">
      <c r="B56" s="2096" t="s">
        <v>90</v>
      </c>
      <c r="C56" s="2096"/>
      <c r="D56" s="2096"/>
      <c r="E56" s="2096"/>
      <c r="F56" s="2096"/>
      <c r="G56" s="2096"/>
      <c r="H56" s="2096"/>
      <c r="I56" s="2096"/>
      <c r="J56" s="2096"/>
      <c r="K56" s="2096"/>
      <c r="L56" s="2097"/>
      <c r="M56" s="2084">
        <f>'10 - EVOLUÇÃO FINANCEIRA'!I41</f>
        <v>408897.49</v>
      </c>
      <c r="N56" s="2085"/>
      <c r="O56" s="2085"/>
      <c r="P56" s="2085"/>
      <c r="Q56" s="2085"/>
      <c r="R56" s="2085"/>
      <c r="S56" s="2085"/>
      <c r="T56" s="2085"/>
      <c r="U56" s="2085"/>
      <c r="V56" s="2085"/>
      <c r="W56" s="2085"/>
      <c r="X56" s="2085"/>
      <c r="Y56" s="2085"/>
      <c r="Z56" s="2085"/>
      <c r="AA56" s="2085"/>
      <c r="AB56" s="2085"/>
      <c r="AC56" s="2085"/>
      <c r="AD56" s="2085"/>
      <c r="AE56" s="2085"/>
      <c r="AF56" s="2085"/>
    </row>
    <row r="57" spans="2:33" ht="15" customHeight="1">
      <c r="B57" s="2098" t="s">
        <v>90</v>
      </c>
      <c r="C57" s="2098"/>
      <c r="D57" s="2098"/>
      <c r="E57" s="2098"/>
      <c r="F57" s="2098"/>
      <c r="G57" s="2098"/>
      <c r="H57" s="2098"/>
      <c r="I57" s="2098"/>
      <c r="J57" s="2098"/>
      <c r="K57" s="2098"/>
      <c r="L57" s="2099"/>
      <c r="M57" s="2104">
        <f>'10 - EVOLUÇÃO FINANCEIRA'!F41</f>
        <v>286</v>
      </c>
      <c r="N57" s="2105"/>
      <c r="O57" s="2105"/>
      <c r="P57" s="2105"/>
      <c r="Q57" s="2105"/>
      <c r="R57" s="2105"/>
      <c r="S57" s="2105"/>
      <c r="T57" s="2105"/>
      <c r="U57" s="2105"/>
      <c r="V57" s="2105"/>
      <c r="W57" s="2105"/>
      <c r="X57" s="2105"/>
      <c r="Y57" s="2105"/>
      <c r="Z57" s="2105"/>
      <c r="AA57" s="2105"/>
      <c r="AB57" s="2105"/>
      <c r="AC57" s="2105"/>
      <c r="AD57" s="2105"/>
      <c r="AE57" s="2105"/>
      <c r="AF57" s="2105"/>
    </row>
    <row r="58" spans="2:33" ht="15" customHeight="1">
      <c r="B58" s="2092" t="s">
        <v>90</v>
      </c>
      <c r="C58" s="2092"/>
      <c r="D58" s="2092"/>
      <c r="E58" s="2092"/>
      <c r="F58" s="2092"/>
      <c r="G58" s="2092"/>
      <c r="H58" s="2092"/>
      <c r="I58" s="2092"/>
      <c r="J58" s="2092"/>
      <c r="K58" s="2092"/>
      <c r="L58" s="2093"/>
      <c r="M58" s="2104">
        <f>'10 - EVOLUÇÃO FINANCEIRA'!L41</f>
        <v>-13</v>
      </c>
      <c r="N58" s="2105"/>
      <c r="O58" s="2105"/>
      <c r="P58" s="2105"/>
      <c r="Q58" s="2105"/>
      <c r="R58" s="1240"/>
      <c r="S58" s="1240"/>
      <c r="T58" s="1240"/>
      <c r="U58" s="1240"/>
      <c r="V58" s="1240"/>
      <c r="W58" s="1240"/>
      <c r="X58" s="1240"/>
      <c r="Y58" s="1240"/>
      <c r="Z58" s="1240"/>
      <c r="AA58" s="1240"/>
      <c r="AB58" s="1240"/>
      <c r="AC58" s="1240"/>
      <c r="AD58" s="1240"/>
      <c r="AE58" s="1240"/>
      <c r="AF58" s="1240"/>
    </row>
    <row r="59" spans="2:33" ht="15" customHeight="1">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4"/>
    </row>
    <row r="60" spans="2:33" ht="15" customHeight="1">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4"/>
    </row>
    <row r="61" spans="2:33" ht="15" customHeight="1">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4"/>
    </row>
    <row r="62" spans="2:33" ht="15" customHeight="1">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c r="AA62" s="334"/>
      <c r="AB62" s="334"/>
      <c r="AC62" s="334"/>
      <c r="AD62" s="334"/>
      <c r="AE62" s="334"/>
      <c r="AF62" s="334"/>
    </row>
    <row r="63" spans="2:33" ht="15" customHeight="1">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c r="AA63" s="334"/>
      <c r="AB63" s="334"/>
      <c r="AC63" s="334"/>
      <c r="AD63" s="334"/>
      <c r="AE63" s="334"/>
      <c r="AF63" s="334"/>
    </row>
    <row r="64" spans="2:33" ht="15" customHeight="1">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c r="Z64" s="334"/>
      <c r="AA64" s="334"/>
      <c r="AB64" s="334"/>
      <c r="AC64" s="334"/>
      <c r="AD64" s="334"/>
      <c r="AE64" s="334"/>
      <c r="AF64" s="334"/>
    </row>
    <row r="65" spans="2:36" ht="15" customHeight="1">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334"/>
      <c r="AE65" s="334"/>
      <c r="AF65" s="334"/>
    </row>
    <row r="66" spans="2:36" ht="13.5" customHeight="1">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334"/>
      <c r="AC66" s="334"/>
      <c r="AD66" s="334"/>
      <c r="AE66" s="334"/>
      <c r="AF66" s="334"/>
    </row>
    <row r="67" spans="2:36" ht="18.75" customHeight="1">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c r="Z67" s="334"/>
      <c r="AA67" s="334"/>
      <c r="AB67" s="334"/>
      <c r="AC67" s="334"/>
      <c r="AD67" s="334"/>
      <c r="AE67" s="334"/>
      <c r="AF67" s="334"/>
    </row>
    <row r="68" spans="2:36" ht="15" customHeight="1">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334"/>
      <c r="AB68" s="334"/>
      <c r="AC68" s="334"/>
      <c r="AD68" s="334"/>
      <c r="AE68" s="334"/>
      <c r="AF68" s="334"/>
    </row>
    <row r="69" spans="2:36" ht="15" customHeight="1">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c r="Z69" s="334"/>
      <c r="AA69" s="334"/>
      <c r="AB69" s="334"/>
      <c r="AC69" s="334"/>
      <c r="AD69" s="334"/>
      <c r="AE69" s="334"/>
      <c r="AF69" s="334"/>
    </row>
    <row r="70" spans="2:36" ht="15" customHeight="1">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c r="Z70" s="334"/>
      <c r="AA70" s="334"/>
      <c r="AB70" s="334"/>
      <c r="AC70" s="334"/>
      <c r="AD70" s="334"/>
      <c r="AE70" s="334"/>
      <c r="AF70" s="334"/>
    </row>
    <row r="71" spans="2:36" ht="15" customHeight="1">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c r="Z71" s="334"/>
      <c r="AA71" s="334"/>
      <c r="AB71" s="334"/>
      <c r="AC71" s="334"/>
      <c r="AD71" s="334"/>
      <c r="AE71" s="334"/>
      <c r="AF71" s="334"/>
    </row>
    <row r="72" spans="2:36" ht="15" customHeight="1">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c r="AA72" s="334"/>
      <c r="AB72" s="334"/>
      <c r="AC72" s="334"/>
      <c r="AD72" s="334"/>
      <c r="AE72" s="334"/>
      <c r="AF72" s="334"/>
    </row>
    <row r="73" spans="2:36" ht="15" customHeight="1">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c r="Z73" s="334"/>
      <c r="AA73" s="334"/>
      <c r="AB73" s="334"/>
      <c r="AC73" s="334"/>
      <c r="AD73" s="334"/>
      <c r="AE73" s="334"/>
      <c r="AF73" s="334"/>
    </row>
    <row r="74" spans="2:36" ht="15" customHeight="1">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c r="Z74" s="334"/>
      <c r="AA74" s="334"/>
      <c r="AB74" s="334"/>
      <c r="AC74" s="334"/>
      <c r="AD74" s="334"/>
      <c r="AE74" s="334"/>
      <c r="AF74" s="334"/>
    </row>
    <row r="75" spans="2:36" ht="15" customHeight="1" thickBot="1">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c r="AA75" s="334"/>
      <c r="AB75" s="334"/>
      <c r="AC75" s="334"/>
      <c r="AD75" s="334"/>
      <c r="AE75" s="334"/>
      <c r="AF75" s="334"/>
    </row>
    <row r="76" spans="2:36" ht="20.25" customHeight="1" thickTop="1">
      <c r="B76" s="1973" t="s">
        <v>702</v>
      </c>
      <c r="C76" s="1973"/>
      <c r="D76" s="1973"/>
      <c r="E76" s="1973"/>
      <c r="F76" s="1973"/>
      <c r="G76" s="1973"/>
      <c r="H76" s="1973"/>
      <c r="I76" s="1973"/>
      <c r="J76" s="1973"/>
      <c r="K76" s="1973"/>
      <c r="L76" s="1973"/>
      <c r="M76" s="1973"/>
      <c r="N76" s="1973"/>
      <c r="O76" s="1973"/>
      <c r="P76" s="1973"/>
      <c r="Q76" s="1973"/>
      <c r="R76" s="1973"/>
      <c r="S76" s="1973"/>
      <c r="T76" s="1973"/>
      <c r="U76" s="1973"/>
      <c r="V76" s="1973"/>
      <c r="W76" s="1973"/>
      <c r="X76" s="1973"/>
      <c r="Y76" s="1973"/>
      <c r="Z76" s="1973"/>
      <c r="AA76" s="1973"/>
      <c r="AB76" s="1973"/>
      <c r="AC76" s="1973"/>
      <c r="AD76" s="1973"/>
      <c r="AE76" s="1973"/>
      <c r="AF76" s="1973"/>
    </row>
    <row r="77" spans="2:36" ht="24.95" customHeight="1" thickBot="1">
      <c r="B77" s="1243" t="str">
        <f>$B$1</f>
        <v>Consolidação de Elementos de Medição e Supervisão das Condições Trabalhistas</v>
      </c>
      <c r="C77" s="701"/>
      <c r="D77" s="701"/>
      <c r="E77" s="701"/>
      <c r="F77" s="701"/>
      <c r="G77" s="701"/>
      <c r="H77" s="701"/>
      <c r="I77" s="701"/>
      <c r="J77" s="701"/>
      <c r="K77" s="701"/>
      <c r="L77" s="701"/>
      <c r="M77" s="701"/>
      <c r="N77" s="701"/>
      <c r="O77" s="701"/>
      <c r="P77" s="701"/>
      <c r="Q77" s="701"/>
      <c r="R77" s="701"/>
      <c r="S77" s="701"/>
      <c r="T77" s="701"/>
      <c r="U77" s="701"/>
      <c r="V77" s="701"/>
      <c r="W77" s="701"/>
      <c r="X77" s="701"/>
      <c r="Y77" s="701"/>
      <c r="Z77" s="2109" t="str">
        <f>$AA$1</f>
        <v>CMRF 03/5222-08</v>
      </c>
      <c r="AA77" s="2109"/>
      <c r="AB77" s="2109"/>
      <c r="AC77" s="2109"/>
      <c r="AD77" s="2109"/>
      <c r="AE77" s="2109"/>
      <c r="AF77" s="2109"/>
      <c r="AG77" s="3"/>
      <c r="AH77" s="3"/>
      <c r="AI77" s="3"/>
      <c r="AJ77" s="3"/>
    </row>
    <row r="78" spans="2:36" ht="15" customHeight="1" thickTop="1">
      <c r="B78" s="346"/>
      <c r="C78" s="346"/>
      <c r="D78" s="346"/>
      <c r="E78" s="346"/>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
      <c r="AH78" s="3"/>
      <c r="AI78" s="3"/>
      <c r="AJ78" s="3"/>
    </row>
    <row r="79" spans="2:36" ht="15" customHeight="1">
      <c r="B79" s="2087" t="s">
        <v>530</v>
      </c>
      <c r="C79" s="2087"/>
      <c r="D79" s="2087"/>
      <c r="E79" s="2087"/>
      <c r="F79" s="2087"/>
      <c r="G79" s="2087"/>
      <c r="H79" s="2087"/>
      <c r="I79" s="2087"/>
      <c r="J79" s="2087"/>
      <c r="K79" s="2087"/>
      <c r="L79" s="2087"/>
      <c r="M79" s="2087"/>
      <c r="N79" s="2087"/>
      <c r="O79" s="2087"/>
      <c r="P79" s="2087"/>
      <c r="Q79" s="2087"/>
      <c r="R79" s="2087"/>
      <c r="S79" s="2087"/>
      <c r="T79" s="2087"/>
      <c r="U79" s="2087"/>
      <c r="V79" s="2087"/>
      <c r="W79" s="2087"/>
      <c r="X79" s="2087"/>
      <c r="Y79" s="2087"/>
      <c r="Z79" s="2087"/>
      <c r="AA79" s="2087"/>
      <c r="AB79" s="2087"/>
      <c r="AC79" s="2087"/>
      <c r="AD79" s="2087"/>
      <c r="AE79" s="2087"/>
      <c r="AF79" s="2087"/>
      <c r="AG79" s="3"/>
      <c r="AH79" s="576" t="s">
        <v>640</v>
      </c>
      <c r="AI79" s="3"/>
      <c r="AJ79" s="3"/>
    </row>
    <row r="80" spans="2:36" ht="15" customHeight="1">
      <c r="B80" s="2090"/>
      <c r="C80" s="2090"/>
      <c r="D80" s="2090"/>
      <c r="E80" s="2090"/>
      <c r="F80" s="2090"/>
      <c r="G80" s="2090"/>
      <c r="H80" s="2090"/>
      <c r="I80" s="2090"/>
      <c r="J80" s="2090"/>
      <c r="K80" s="2090"/>
      <c r="L80" s="2090"/>
      <c r="M80" s="2090"/>
      <c r="N80" s="2090"/>
      <c r="O80" s="2090"/>
      <c r="P80" s="2090"/>
      <c r="Q80" s="2090"/>
      <c r="R80" s="2090"/>
      <c r="S80" s="2090"/>
      <c r="T80" s="2090"/>
      <c r="U80" s="2090"/>
      <c r="V80" s="2090"/>
      <c r="W80" s="2090"/>
      <c r="X80" s="2090"/>
      <c r="Y80" s="2090"/>
      <c r="Z80" s="2090"/>
      <c r="AA80" s="2090"/>
      <c r="AB80" s="2090"/>
      <c r="AC80" s="2090"/>
      <c r="AD80" s="2090"/>
      <c r="AE80" s="2090"/>
      <c r="AF80" s="2090"/>
      <c r="AG80" s="3"/>
      <c r="AH80" s="3"/>
      <c r="AI80" s="3"/>
      <c r="AJ80" s="3"/>
    </row>
    <row r="81" spans="2:68" ht="15" customHeight="1">
      <c r="B81" s="559"/>
      <c r="C81" s="559"/>
      <c r="D81" s="559"/>
      <c r="E81" s="559"/>
      <c r="F81" s="559"/>
      <c r="G81" s="559"/>
      <c r="H81" s="559"/>
      <c r="I81" s="559"/>
      <c r="J81" s="559"/>
      <c r="K81" s="559"/>
      <c r="L81" s="559"/>
      <c r="M81" s="559"/>
      <c r="N81" s="559"/>
      <c r="O81" s="559"/>
      <c r="P81" s="559"/>
      <c r="Q81" s="559"/>
      <c r="R81" s="559"/>
      <c r="S81" s="559"/>
      <c r="T81" s="559"/>
      <c r="U81" s="559"/>
      <c r="V81" s="559"/>
      <c r="W81" s="559"/>
      <c r="X81" s="559"/>
      <c r="Y81" s="559"/>
      <c r="Z81" s="559"/>
      <c r="AA81" s="559"/>
      <c r="AB81" s="559"/>
      <c r="AC81" s="559"/>
      <c r="AD81" s="559"/>
      <c r="AE81" s="559"/>
      <c r="AF81" s="559"/>
      <c r="AG81" s="3"/>
      <c r="AH81" s="3"/>
      <c r="AI81" s="3"/>
      <c r="AJ81" s="3"/>
    </row>
    <row r="82" spans="2:68" ht="15" customHeight="1">
      <c r="B82" s="2192" t="s">
        <v>13</v>
      </c>
      <c r="C82" s="2192"/>
      <c r="D82" s="2192"/>
      <c r="E82" s="2192"/>
      <c r="F82" s="2192"/>
      <c r="G82" s="2040" t="str">
        <f>I22</f>
        <v>Andares Construções Civil Eireli EPP</v>
      </c>
      <c r="H82" s="2040"/>
      <c r="I82" s="2040"/>
      <c r="J82" s="2040"/>
      <c r="K82" s="2040"/>
      <c r="L82" s="2040"/>
      <c r="M82" s="2040"/>
      <c r="N82" s="2040"/>
      <c r="O82" s="2040"/>
      <c r="P82" s="2040"/>
      <c r="Q82" s="2040"/>
      <c r="R82" s="2040"/>
      <c r="S82" s="2041"/>
      <c r="T82" s="709" t="s">
        <v>36</v>
      </c>
      <c r="U82" s="710"/>
      <c r="V82" s="710"/>
      <c r="W82" s="710"/>
      <c r="X82" s="710"/>
      <c r="Y82" s="2289">
        <v>8</v>
      </c>
      <c r="Z82" s="2289"/>
      <c r="AA82" s="2289"/>
      <c r="AB82" s="2289"/>
      <c r="AC82" s="2289"/>
      <c r="AD82" s="2289"/>
      <c r="AE82" s="2289"/>
      <c r="AF82" s="1296"/>
      <c r="AG82" s="3"/>
      <c r="AH82" s="3"/>
      <c r="AI82" s="3"/>
      <c r="AJ82" s="3"/>
    </row>
    <row r="83" spans="2:68" ht="17.25" customHeight="1">
      <c r="B83" s="2193"/>
      <c r="C83" s="2193"/>
      <c r="D83" s="2193"/>
      <c r="E83" s="2193"/>
      <c r="F83" s="2193"/>
      <c r="G83" s="2042"/>
      <c r="H83" s="2042"/>
      <c r="I83" s="2042"/>
      <c r="J83" s="2042"/>
      <c r="K83" s="2042"/>
      <c r="L83" s="2042"/>
      <c r="M83" s="2042"/>
      <c r="N83" s="2042"/>
      <c r="O83" s="2042"/>
      <c r="P83" s="2042"/>
      <c r="Q83" s="2042"/>
      <c r="R83" s="2042"/>
      <c r="S83" s="2043"/>
      <c r="T83" s="714" t="s">
        <v>12</v>
      </c>
      <c r="U83" s="572"/>
      <c r="V83" s="572"/>
      <c r="W83" s="572"/>
      <c r="X83" s="572"/>
      <c r="Y83" s="715" t="s">
        <v>975</v>
      </c>
      <c r="Z83" s="715"/>
      <c r="AA83" s="715"/>
      <c r="AB83" s="715"/>
      <c r="AC83" s="715"/>
      <c r="AD83" s="715"/>
      <c r="AE83" s="715"/>
      <c r="AG83" s="3"/>
      <c r="AH83" s="3"/>
      <c r="AI83" s="3"/>
      <c r="AJ83" s="1040"/>
    </row>
    <row r="84" spans="2:68" ht="29.25" customHeight="1">
      <c r="B84" s="2017" t="s">
        <v>37</v>
      </c>
      <c r="C84" s="2017"/>
      <c r="D84" s="2017"/>
      <c r="E84" s="2017"/>
      <c r="F84" s="2017"/>
      <c r="G84" s="2069" t="s">
        <v>776</v>
      </c>
      <c r="H84" s="2069"/>
      <c r="I84" s="2069"/>
      <c r="J84" s="2069"/>
      <c r="K84" s="2069"/>
      <c r="L84" s="2069"/>
      <c r="M84" s="2069"/>
      <c r="N84" s="2069"/>
      <c r="O84" s="2069"/>
      <c r="P84" s="2069"/>
      <c r="Q84" s="2069"/>
      <c r="R84" s="2069"/>
      <c r="S84" s="2070"/>
      <c r="T84" s="711" t="s">
        <v>38</v>
      </c>
      <c r="U84" s="712"/>
      <c r="V84" s="712"/>
      <c r="W84" s="712"/>
      <c r="X84" s="712"/>
      <c r="Y84" s="716" t="str">
        <f>I24</f>
        <v>052/2022</v>
      </c>
      <c r="Z84" s="716"/>
      <c r="AA84" s="716"/>
      <c r="AB84" s="716"/>
      <c r="AC84" s="716"/>
      <c r="AD84" s="716"/>
      <c r="AE84" s="716"/>
      <c r="AG84" s="3"/>
      <c r="AH84" s="3"/>
      <c r="AI84" s="3"/>
      <c r="AJ84" s="3"/>
    </row>
    <row r="85" spans="2:68" ht="15" customHeight="1">
      <c r="B85" s="2024" t="s">
        <v>1</v>
      </c>
      <c r="C85" s="2025"/>
      <c r="D85" s="2025"/>
      <c r="E85" s="2025"/>
      <c r="F85" s="2025"/>
      <c r="G85" s="2086" t="s">
        <v>39</v>
      </c>
      <c r="H85" s="2087"/>
      <c r="I85" s="2087"/>
      <c r="J85" s="2087"/>
      <c r="K85" s="2087"/>
      <c r="L85" s="2087"/>
      <c r="M85" s="2087"/>
      <c r="N85" s="2087"/>
      <c r="O85" s="2087"/>
      <c r="P85" s="2087"/>
      <c r="Q85" s="2087"/>
      <c r="R85" s="2087"/>
      <c r="S85" s="2088"/>
      <c r="T85" s="2086" t="s">
        <v>74</v>
      </c>
      <c r="U85" s="2087"/>
      <c r="V85" s="2087"/>
      <c r="W85" s="2088"/>
      <c r="X85" s="2025" t="s">
        <v>40</v>
      </c>
      <c r="Y85" s="2025"/>
      <c r="Z85" s="2025"/>
      <c r="AA85" s="2025"/>
      <c r="AB85" s="2025"/>
      <c r="AC85" s="2025"/>
      <c r="AD85" s="2025"/>
      <c r="AE85" s="2025"/>
      <c r="AF85" s="2026"/>
      <c r="AG85" s="3"/>
      <c r="AH85" s="3"/>
      <c r="AI85" s="3"/>
      <c r="AJ85" s="3"/>
    </row>
    <row r="86" spans="2:68" ht="15" customHeight="1">
      <c r="B86" s="2024"/>
      <c r="C86" s="2025"/>
      <c r="D86" s="2025"/>
      <c r="E86" s="2025"/>
      <c r="F86" s="2025"/>
      <c r="G86" s="2089"/>
      <c r="H86" s="2090"/>
      <c r="I86" s="2090"/>
      <c r="J86" s="2090"/>
      <c r="K86" s="2090"/>
      <c r="L86" s="2090"/>
      <c r="M86" s="2090"/>
      <c r="N86" s="2090"/>
      <c r="O86" s="2090"/>
      <c r="P86" s="2090"/>
      <c r="Q86" s="2090"/>
      <c r="R86" s="2090"/>
      <c r="S86" s="2091"/>
      <c r="T86" s="2089"/>
      <c r="U86" s="2090"/>
      <c r="V86" s="2090"/>
      <c r="W86" s="2091"/>
      <c r="X86" s="2100" t="s">
        <v>73</v>
      </c>
      <c r="Y86" s="2100"/>
      <c r="Z86" s="2100"/>
      <c r="AA86" s="2101" t="s">
        <v>47</v>
      </c>
      <c r="AB86" s="2101"/>
      <c r="AC86" s="2101"/>
      <c r="AD86" s="2102"/>
      <c r="AE86" s="2102"/>
      <c r="AF86" s="2103"/>
      <c r="AG86" s="3"/>
      <c r="AH86" s="3"/>
      <c r="AI86" s="3"/>
      <c r="AJ86" s="3"/>
      <c r="AK86" s="1499"/>
      <c r="AL86" s="1499"/>
      <c r="AM86" s="1499"/>
      <c r="AN86" s="1499"/>
      <c r="AO86" s="1499"/>
      <c r="AP86" s="1499"/>
      <c r="AQ86" s="1499"/>
      <c r="AR86" s="1499"/>
      <c r="AS86" s="1499"/>
      <c r="AT86" s="1499"/>
      <c r="AU86" s="1499"/>
      <c r="AV86" s="1499"/>
      <c r="AW86" s="1499"/>
      <c r="AX86" s="1499"/>
      <c r="AY86" s="1499"/>
      <c r="AZ86" s="1499"/>
      <c r="BA86" s="1499"/>
      <c r="BB86" s="1499"/>
      <c r="BC86" s="1499"/>
      <c r="BD86" s="1499"/>
      <c r="BE86" s="1499"/>
      <c r="BF86" s="1499"/>
      <c r="BG86" s="1499"/>
      <c r="BH86" s="1499"/>
      <c r="BI86" s="1499"/>
      <c r="BJ86" s="1499"/>
      <c r="BK86" s="1499"/>
      <c r="BL86" s="1499"/>
      <c r="BM86" s="1499"/>
      <c r="BN86" s="1499"/>
      <c r="BO86" s="1499"/>
    </row>
    <row r="87" spans="2:68" ht="15" customHeight="1">
      <c r="B87" s="1984" t="s">
        <v>41</v>
      </c>
      <c r="C87" s="1985"/>
      <c r="D87" s="1985"/>
      <c r="E87" s="1985"/>
      <c r="F87" s="1985"/>
      <c r="G87" s="1985"/>
      <c r="H87" s="1985"/>
      <c r="I87" s="1985"/>
      <c r="J87" s="1985"/>
      <c r="K87" s="1985"/>
      <c r="L87" s="1985"/>
      <c r="M87" s="1985"/>
      <c r="N87" s="1985"/>
      <c r="O87" s="1985"/>
      <c r="P87" s="1985"/>
      <c r="Q87" s="1985"/>
      <c r="R87" s="1985"/>
      <c r="S87" s="1985"/>
      <c r="T87" s="1985"/>
      <c r="U87" s="1985"/>
      <c r="V87" s="1985"/>
      <c r="W87" s="1985"/>
      <c r="X87" s="1985"/>
      <c r="Y87" s="1985"/>
      <c r="Z87" s="1985"/>
      <c r="AA87" s="1985"/>
      <c r="AB87" s="1985"/>
      <c r="AC87" s="1985"/>
      <c r="AD87" s="1985"/>
      <c r="AE87" s="1985"/>
      <c r="AF87" s="1986"/>
      <c r="AG87" s="3"/>
      <c r="AH87" s="3"/>
      <c r="AI87" s="3"/>
      <c r="AJ87" s="4"/>
      <c r="AK87" s="826">
        <v>1</v>
      </c>
      <c r="AL87" s="826">
        <v>2</v>
      </c>
      <c r="AM87" s="826">
        <v>3</v>
      </c>
      <c r="AN87" s="826">
        <v>4</v>
      </c>
      <c r="AO87" s="826">
        <v>5</v>
      </c>
      <c r="AP87" s="826">
        <v>6</v>
      </c>
      <c r="AQ87" s="826">
        <v>7</v>
      </c>
      <c r="AR87" s="826">
        <v>8</v>
      </c>
      <c r="AS87" s="826">
        <v>9</v>
      </c>
      <c r="AT87" s="826">
        <v>10</v>
      </c>
      <c r="AU87" s="826">
        <v>11</v>
      </c>
      <c r="AV87" s="826">
        <v>12</v>
      </c>
      <c r="AW87" s="826">
        <v>13</v>
      </c>
      <c r="AX87" s="826">
        <v>14</v>
      </c>
      <c r="AY87" s="826">
        <v>15</v>
      </c>
      <c r="AZ87" s="826">
        <v>16</v>
      </c>
      <c r="BA87" s="826">
        <v>17</v>
      </c>
      <c r="BB87" s="826">
        <v>18</v>
      </c>
      <c r="BC87" s="826">
        <v>19</v>
      </c>
      <c r="BD87" s="826">
        <v>20</v>
      </c>
      <c r="BE87" s="826">
        <v>21</v>
      </c>
      <c r="BF87" s="826">
        <v>22</v>
      </c>
      <c r="BG87" s="826">
        <v>23</v>
      </c>
      <c r="BH87" s="826">
        <v>24</v>
      </c>
      <c r="BI87" s="826">
        <v>25</v>
      </c>
      <c r="BJ87" s="826">
        <v>26</v>
      </c>
      <c r="BK87" s="826">
        <v>27</v>
      </c>
      <c r="BL87" s="826">
        <v>28</v>
      </c>
      <c r="BM87" s="826">
        <v>29</v>
      </c>
      <c r="BN87" s="826">
        <v>30</v>
      </c>
      <c r="BO87" s="826"/>
      <c r="BP87" s="305" t="s">
        <v>72</v>
      </c>
    </row>
    <row r="88" spans="2:68" ht="15" customHeight="1">
      <c r="B88" s="1979">
        <v>1</v>
      </c>
      <c r="C88" s="1987"/>
      <c r="D88" s="1987"/>
      <c r="E88" s="1987"/>
      <c r="F88" s="1987"/>
      <c r="G88" s="2037" t="str">
        <f t="shared" ref="G88:G97" si="0">IF(AJ88="","",AJ88)</f>
        <v>Engenheiro</v>
      </c>
      <c r="H88" s="2038"/>
      <c r="I88" s="2038"/>
      <c r="J88" s="2038"/>
      <c r="K88" s="2038"/>
      <c r="L88" s="2038"/>
      <c r="M88" s="2038"/>
      <c r="N88" s="2038"/>
      <c r="O88" s="2038"/>
      <c r="P88" s="2038"/>
      <c r="Q88" s="2038"/>
      <c r="R88" s="2038"/>
      <c r="S88" s="2039"/>
      <c r="T88" s="2033" t="s">
        <v>892</v>
      </c>
      <c r="U88" s="2033"/>
      <c r="V88" s="2033"/>
      <c r="W88" s="2033"/>
      <c r="X88" s="2027">
        <f>AA88</f>
        <v>1</v>
      </c>
      <c r="Y88" s="2027"/>
      <c r="Z88" s="2027"/>
      <c r="AA88" s="1974">
        <f>BP88</f>
        <v>1</v>
      </c>
      <c r="AB88" s="1974"/>
      <c r="AC88" s="1974"/>
      <c r="AD88" s="1974"/>
      <c r="AE88" s="1974"/>
      <c r="AF88" s="1975"/>
      <c r="AG88" s="3"/>
      <c r="AH88" s="3"/>
      <c r="AI88" s="3"/>
      <c r="AJ88" s="412" t="s">
        <v>528</v>
      </c>
      <c r="AK88" s="917">
        <v>1</v>
      </c>
      <c r="AL88" s="917">
        <v>1</v>
      </c>
      <c r="AM88" s="917"/>
      <c r="AN88" s="917"/>
      <c r="AO88" s="917">
        <v>1</v>
      </c>
      <c r="AP88" s="917">
        <v>1</v>
      </c>
      <c r="AQ88" s="917">
        <v>1</v>
      </c>
      <c r="AR88" s="917"/>
      <c r="AS88" s="917">
        <v>1</v>
      </c>
      <c r="AT88" s="917"/>
      <c r="AU88" s="917"/>
      <c r="AV88" s="917">
        <v>1</v>
      </c>
      <c r="AW88" s="917">
        <v>1</v>
      </c>
      <c r="AX88" s="917">
        <v>1</v>
      </c>
      <c r="AY88" s="917">
        <v>1</v>
      </c>
      <c r="AZ88" s="917">
        <v>1</v>
      </c>
      <c r="BA88" s="917"/>
      <c r="BB88" s="917"/>
      <c r="BC88" s="917">
        <v>1</v>
      </c>
      <c r="BD88" s="917">
        <v>1</v>
      </c>
      <c r="BE88" s="917">
        <v>1</v>
      </c>
      <c r="BF88" s="917">
        <v>1</v>
      </c>
      <c r="BG88" s="917">
        <v>1</v>
      </c>
      <c r="BH88" s="917"/>
      <c r="BI88" s="917"/>
      <c r="BJ88" s="917">
        <v>1</v>
      </c>
      <c r="BK88" s="917">
        <v>1</v>
      </c>
      <c r="BL88" s="917"/>
      <c r="BM88" s="917"/>
      <c r="BN88" s="1555"/>
      <c r="BO88" s="1335"/>
      <c r="BP88" s="333">
        <f>IFERROR(AVERAGE((AK88:BO88)),"")</f>
        <v>1</v>
      </c>
    </row>
    <row r="89" spans="2:68" ht="15" customHeight="1">
      <c r="B89" s="2020">
        <f>B88+1</f>
        <v>2</v>
      </c>
      <c r="C89" s="2020"/>
      <c r="D89" s="2020"/>
      <c r="E89" s="2020"/>
      <c r="F89" s="1979"/>
      <c r="G89" s="2037" t="str">
        <f>IF(AJ89="","",AJ89)</f>
        <v>Motorista</v>
      </c>
      <c r="H89" s="2038"/>
      <c r="I89" s="2038"/>
      <c r="J89" s="2038"/>
      <c r="K89" s="2038"/>
      <c r="L89" s="2038"/>
      <c r="M89" s="2038"/>
      <c r="N89" s="2038"/>
      <c r="O89" s="2038"/>
      <c r="P89" s="2038"/>
      <c r="Q89" s="2038"/>
      <c r="R89" s="2038"/>
      <c r="S89" s="2039"/>
      <c r="T89" s="2033" t="s">
        <v>892</v>
      </c>
      <c r="U89" s="2033"/>
      <c r="V89" s="2033"/>
      <c r="W89" s="2033"/>
      <c r="X89" s="2027">
        <f t="shared" ref="X89:X91" si="1">AA89</f>
        <v>2</v>
      </c>
      <c r="Y89" s="2027"/>
      <c r="Z89" s="2027"/>
      <c r="AA89" s="1975">
        <f t="shared" ref="AA89:AA94" si="2">BP89</f>
        <v>2</v>
      </c>
      <c r="AB89" s="1983"/>
      <c r="AC89" s="2077"/>
      <c r="AD89" s="1975"/>
      <c r="AE89" s="1983"/>
      <c r="AF89" s="1983"/>
      <c r="AG89" s="3"/>
      <c r="AH89" s="3"/>
      <c r="AI89" s="3"/>
      <c r="AJ89" s="7" t="s">
        <v>527</v>
      </c>
      <c r="AK89" s="917">
        <v>2</v>
      </c>
      <c r="AL89" s="917">
        <v>2</v>
      </c>
      <c r="AM89" s="917"/>
      <c r="AN89" s="917"/>
      <c r="AO89" s="917">
        <v>2</v>
      </c>
      <c r="AP89" s="917">
        <v>2</v>
      </c>
      <c r="AQ89" s="917">
        <v>2</v>
      </c>
      <c r="AR89" s="917"/>
      <c r="AS89" s="917">
        <v>2</v>
      </c>
      <c r="AT89" s="917"/>
      <c r="AU89" s="917"/>
      <c r="AV89" s="917">
        <v>2</v>
      </c>
      <c r="AW89" s="917">
        <v>2</v>
      </c>
      <c r="AX89" s="917">
        <v>2</v>
      </c>
      <c r="AY89" s="917">
        <v>2</v>
      </c>
      <c r="AZ89" s="917">
        <v>2</v>
      </c>
      <c r="BA89" s="917"/>
      <c r="BB89" s="917"/>
      <c r="BC89" s="917">
        <v>2</v>
      </c>
      <c r="BD89" s="917">
        <v>2</v>
      </c>
      <c r="BE89" s="917">
        <v>2</v>
      </c>
      <c r="BF89" s="917">
        <v>2</v>
      </c>
      <c r="BG89" s="917">
        <v>2</v>
      </c>
      <c r="BH89" s="917"/>
      <c r="BI89" s="917"/>
      <c r="BJ89" s="917">
        <v>2</v>
      </c>
      <c r="BK89" s="917">
        <v>2</v>
      </c>
      <c r="BL89" s="917"/>
      <c r="BM89" s="917"/>
      <c r="BN89" s="1555"/>
      <c r="BO89" s="1335"/>
      <c r="BP89" s="333">
        <f>IFERROR(AVERAGE((AK89:BO89)),"")</f>
        <v>2</v>
      </c>
    </row>
    <row r="90" spans="2:68" ht="15" customHeight="1">
      <c r="B90" s="2020">
        <f>B89+1</f>
        <v>3</v>
      </c>
      <c r="C90" s="2020"/>
      <c r="D90" s="2020"/>
      <c r="E90" s="2020"/>
      <c r="F90" s="1979"/>
      <c r="G90" s="2037" t="str">
        <f>IF(AJ90="","",AJ90)</f>
        <v>Técnico</v>
      </c>
      <c r="H90" s="2038"/>
      <c r="I90" s="2038"/>
      <c r="J90" s="2038"/>
      <c r="K90" s="2038"/>
      <c r="L90" s="2038"/>
      <c r="M90" s="2038"/>
      <c r="N90" s="2038"/>
      <c r="O90" s="2038"/>
      <c r="P90" s="2038"/>
      <c r="Q90" s="2038"/>
      <c r="R90" s="2038"/>
      <c r="S90" s="2039"/>
      <c r="T90" s="2033" t="s">
        <v>892</v>
      </c>
      <c r="U90" s="2033"/>
      <c r="V90" s="2033"/>
      <c r="W90" s="2033"/>
      <c r="X90" s="2027">
        <f t="shared" si="1"/>
        <v>0</v>
      </c>
      <c r="Y90" s="2027"/>
      <c r="Z90" s="2027"/>
      <c r="AA90" s="1975">
        <f t="shared" si="2"/>
        <v>0</v>
      </c>
      <c r="AB90" s="1983"/>
      <c r="AC90" s="2077"/>
      <c r="AD90" s="1975"/>
      <c r="AE90" s="1983"/>
      <c r="AF90" s="1983"/>
      <c r="AG90" s="3"/>
      <c r="AH90" s="3"/>
      <c r="AI90" s="3"/>
      <c r="AJ90" s="7" t="s">
        <v>729</v>
      </c>
      <c r="AK90" s="917">
        <v>0</v>
      </c>
      <c r="AL90" s="917">
        <v>0</v>
      </c>
      <c r="AM90" s="917"/>
      <c r="AN90" s="917"/>
      <c r="AO90" s="917">
        <v>0</v>
      </c>
      <c r="AP90" s="917">
        <v>0</v>
      </c>
      <c r="AQ90" s="917">
        <v>0</v>
      </c>
      <c r="AR90" s="917"/>
      <c r="AS90" s="917">
        <v>0</v>
      </c>
      <c r="AT90" s="917"/>
      <c r="AU90" s="917"/>
      <c r="AV90" s="917">
        <v>0</v>
      </c>
      <c r="AW90" s="917">
        <v>0</v>
      </c>
      <c r="AX90" s="917">
        <v>0</v>
      </c>
      <c r="AY90" s="917">
        <v>0</v>
      </c>
      <c r="AZ90" s="917">
        <v>0</v>
      </c>
      <c r="BA90" s="917"/>
      <c r="BB90" s="917"/>
      <c r="BC90" s="917">
        <v>0</v>
      </c>
      <c r="BD90" s="917">
        <v>0</v>
      </c>
      <c r="BE90" s="917">
        <v>0</v>
      </c>
      <c r="BF90" s="917">
        <v>0</v>
      </c>
      <c r="BG90" s="917">
        <v>0</v>
      </c>
      <c r="BH90" s="917"/>
      <c r="BI90" s="917"/>
      <c r="BJ90" s="917">
        <v>0</v>
      </c>
      <c r="BK90" s="917">
        <v>0</v>
      </c>
      <c r="BL90" s="917"/>
      <c r="BM90" s="917"/>
      <c r="BN90" s="1555"/>
      <c r="BO90" s="1335"/>
      <c r="BP90" s="333">
        <f t="shared" ref="BP90:BP103" si="3">IFERROR(AVERAGE((AK90:BO90)),"")</f>
        <v>0</v>
      </c>
    </row>
    <row r="91" spans="2:68" ht="15" customHeight="1">
      <c r="B91" s="2020">
        <f>B90+1</f>
        <v>4</v>
      </c>
      <c r="C91" s="2020"/>
      <c r="D91" s="2020"/>
      <c r="E91" s="2020"/>
      <c r="F91" s="1979"/>
      <c r="G91" s="2037" t="str">
        <f t="shared" si="0"/>
        <v>Topógrafo</v>
      </c>
      <c r="H91" s="2038"/>
      <c r="I91" s="2038"/>
      <c r="J91" s="2038"/>
      <c r="K91" s="2038"/>
      <c r="L91" s="2038"/>
      <c r="M91" s="2038"/>
      <c r="N91" s="2038"/>
      <c r="O91" s="2038"/>
      <c r="P91" s="2038"/>
      <c r="Q91" s="2038"/>
      <c r="R91" s="2038"/>
      <c r="S91" s="2039"/>
      <c r="T91" s="2033" t="s">
        <v>892</v>
      </c>
      <c r="U91" s="2033"/>
      <c r="V91" s="2033"/>
      <c r="W91" s="2033"/>
      <c r="X91" s="2027">
        <f t="shared" si="1"/>
        <v>1</v>
      </c>
      <c r="Y91" s="2027"/>
      <c r="Z91" s="2027"/>
      <c r="AA91" s="1974">
        <f t="shared" si="2"/>
        <v>1</v>
      </c>
      <c r="AB91" s="1974"/>
      <c r="AC91" s="1974"/>
      <c r="AD91" s="1974"/>
      <c r="AE91" s="1974"/>
      <c r="AF91" s="1975"/>
      <c r="AG91" s="3"/>
      <c r="AH91" s="3"/>
      <c r="AI91" s="3"/>
      <c r="AJ91" s="7" t="s">
        <v>399</v>
      </c>
      <c r="AK91" s="917">
        <v>1</v>
      </c>
      <c r="AL91" s="917">
        <v>1</v>
      </c>
      <c r="AM91" s="917"/>
      <c r="AN91" s="917"/>
      <c r="AO91" s="917">
        <v>1</v>
      </c>
      <c r="AP91" s="917">
        <v>1</v>
      </c>
      <c r="AQ91" s="917">
        <v>1</v>
      </c>
      <c r="AR91" s="917"/>
      <c r="AS91" s="917">
        <v>1</v>
      </c>
      <c r="AT91" s="917"/>
      <c r="AU91" s="917"/>
      <c r="AV91" s="917">
        <v>1</v>
      </c>
      <c r="AW91" s="917">
        <v>1</v>
      </c>
      <c r="AX91" s="917">
        <v>1</v>
      </c>
      <c r="AY91" s="917">
        <v>1</v>
      </c>
      <c r="AZ91" s="917">
        <v>1</v>
      </c>
      <c r="BA91" s="917"/>
      <c r="BB91" s="917"/>
      <c r="BC91" s="917">
        <v>1</v>
      </c>
      <c r="BD91" s="917">
        <v>1</v>
      </c>
      <c r="BE91" s="917">
        <v>1</v>
      </c>
      <c r="BF91" s="917">
        <v>1</v>
      </c>
      <c r="BG91" s="917">
        <v>1</v>
      </c>
      <c r="BH91" s="917"/>
      <c r="BI91" s="917"/>
      <c r="BJ91" s="917">
        <v>1</v>
      </c>
      <c r="BK91" s="917">
        <v>1</v>
      </c>
      <c r="BL91" s="917"/>
      <c r="BM91" s="917"/>
      <c r="BN91" s="1555"/>
      <c r="BO91" s="1335"/>
      <c r="BP91" s="333">
        <f t="shared" si="3"/>
        <v>1</v>
      </c>
    </row>
    <row r="92" spans="2:68" ht="15" customHeight="1">
      <c r="B92" s="1979"/>
      <c r="C92" s="1987"/>
      <c r="D92" s="1987"/>
      <c r="E92" s="1987"/>
      <c r="F92" s="1987"/>
      <c r="G92" s="2030" t="str">
        <f>IF(AJ92="","",AJ92)</f>
        <v/>
      </c>
      <c r="H92" s="2031"/>
      <c r="I92" s="2031"/>
      <c r="J92" s="2031"/>
      <c r="K92" s="2031"/>
      <c r="L92" s="2031"/>
      <c r="M92" s="2031"/>
      <c r="N92" s="2031"/>
      <c r="O92" s="2031"/>
      <c r="P92" s="2031"/>
      <c r="Q92" s="2031"/>
      <c r="R92" s="2031"/>
      <c r="S92" s="2032"/>
      <c r="T92" s="2033"/>
      <c r="U92" s="2033"/>
      <c r="V92" s="2033"/>
      <c r="W92" s="2033"/>
      <c r="X92" s="1981"/>
      <c r="Y92" s="1981"/>
      <c r="Z92" s="1981"/>
      <c r="AA92" s="1974" t="str">
        <f t="shared" si="2"/>
        <v/>
      </c>
      <c r="AB92" s="1974"/>
      <c r="AC92" s="1974"/>
      <c r="AD92" s="1974"/>
      <c r="AE92" s="1974"/>
      <c r="AF92" s="1975"/>
      <c r="AG92" s="3"/>
      <c r="AH92" s="3"/>
      <c r="AI92" s="3"/>
      <c r="AJ92" s="7"/>
      <c r="AK92" s="827"/>
      <c r="AL92" s="827"/>
      <c r="AM92" s="917"/>
      <c r="AN92" s="827"/>
      <c r="AO92" s="917"/>
      <c r="AP92" s="917"/>
      <c r="AQ92" s="827"/>
      <c r="AR92" s="827"/>
      <c r="AS92" s="827"/>
      <c r="AT92" s="917"/>
      <c r="AU92" s="827"/>
      <c r="AV92" s="917"/>
      <c r="AW92" s="917"/>
      <c r="AX92" s="827"/>
      <c r="AY92" s="827"/>
      <c r="AZ92" s="827"/>
      <c r="BA92" s="917"/>
      <c r="BB92" s="827"/>
      <c r="BC92" s="917"/>
      <c r="BD92" s="917"/>
      <c r="BE92" s="827"/>
      <c r="BF92" s="827"/>
      <c r="BG92" s="827"/>
      <c r="BH92" s="917"/>
      <c r="BI92" s="827"/>
      <c r="BJ92" s="917"/>
      <c r="BK92" s="917"/>
      <c r="BL92" s="827"/>
      <c r="BM92" s="827"/>
      <c r="BN92" s="827"/>
      <c r="BO92" s="917"/>
      <c r="BP92" s="333" t="str">
        <f t="shared" si="3"/>
        <v/>
      </c>
    </row>
    <row r="93" spans="2:68" ht="15" customHeight="1">
      <c r="B93" s="2020"/>
      <c r="C93" s="2020"/>
      <c r="D93" s="2020"/>
      <c r="E93" s="2020"/>
      <c r="F93" s="1979"/>
      <c r="G93" s="2030" t="str">
        <f>IF(AJ93="","",AJ93)</f>
        <v/>
      </c>
      <c r="H93" s="2031"/>
      <c r="I93" s="2031"/>
      <c r="J93" s="2031"/>
      <c r="K93" s="2031"/>
      <c r="L93" s="2031"/>
      <c r="M93" s="2031"/>
      <c r="N93" s="2031"/>
      <c r="O93" s="2031"/>
      <c r="P93" s="2031"/>
      <c r="Q93" s="2031"/>
      <c r="R93" s="2031"/>
      <c r="S93" s="2032"/>
      <c r="T93" s="2021"/>
      <c r="U93" s="2022"/>
      <c r="V93" s="2022"/>
      <c r="W93" s="2023"/>
      <c r="X93" s="2034"/>
      <c r="Y93" s="2035"/>
      <c r="Z93" s="2036"/>
      <c r="AA93" s="2019" t="str">
        <f t="shared" si="2"/>
        <v/>
      </c>
      <c r="AB93" s="2019"/>
      <c r="AC93" s="2019"/>
      <c r="AD93" s="1974"/>
      <c r="AE93" s="1974"/>
      <c r="AF93" s="1975"/>
      <c r="AG93" s="3"/>
      <c r="AH93" s="3"/>
      <c r="AI93" s="3"/>
      <c r="AJ93" s="7"/>
      <c r="AK93" s="827"/>
      <c r="AL93" s="827"/>
      <c r="AM93" s="917"/>
      <c r="AN93" s="827"/>
      <c r="AO93" s="917"/>
      <c r="AP93" s="917"/>
      <c r="AQ93" s="827"/>
      <c r="AR93" s="827"/>
      <c r="AS93" s="827"/>
      <c r="AT93" s="917"/>
      <c r="AU93" s="827"/>
      <c r="AV93" s="917"/>
      <c r="AW93" s="917"/>
      <c r="AX93" s="827"/>
      <c r="AY93" s="827"/>
      <c r="AZ93" s="827"/>
      <c r="BA93" s="917"/>
      <c r="BB93" s="827"/>
      <c r="BC93" s="917"/>
      <c r="BD93" s="917"/>
      <c r="BE93" s="827"/>
      <c r="BF93" s="827"/>
      <c r="BG93" s="827"/>
      <c r="BH93" s="917"/>
      <c r="BI93" s="827"/>
      <c r="BJ93" s="917"/>
      <c r="BK93" s="917"/>
      <c r="BL93" s="827"/>
      <c r="BM93" s="827"/>
      <c r="BN93" s="827"/>
      <c r="BO93" s="917"/>
      <c r="BP93" s="333" t="str">
        <f t="shared" si="3"/>
        <v/>
      </c>
    </row>
    <row r="94" spans="2:68" ht="15" customHeight="1">
      <c r="B94" s="2020"/>
      <c r="C94" s="2020"/>
      <c r="D94" s="2020"/>
      <c r="E94" s="2020"/>
      <c r="F94" s="1979"/>
      <c r="G94" s="2030" t="str">
        <f t="shared" si="0"/>
        <v/>
      </c>
      <c r="H94" s="2031"/>
      <c r="I94" s="2031"/>
      <c r="J94" s="2031"/>
      <c r="K94" s="2031"/>
      <c r="L94" s="2031"/>
      <c r="M94" s="2031"/>
      <c r="N94" s="2031"/>
      <c r="O94" s="2031"/>
      <c r="P94" s="2031"/>
      <c r="Q94" s="2031"/>
      <c r="R94" s="2031"/>
      <c r="S94" s="2032"/>
      <c r="T94" s="2021"/>
      <c r="U94" s="2022"/>
      <c r="V94" s="2022"/>
      <c r="W94" s="2023"/>
      <c r="X94" s="2034"/>
      <c r="Y94" s="2035"/>
      <c r="Z94" s="2036"/>
      <c r="AA94" s="2019" t="str">
        <f t="shared" si="2"/>
        <v/>
      </c>
      <c r="AB94" s="2019"/>
      <c r="AC94" s="2019"/>
      <c r="AD94" s="1974"/>
      <c r="AE94" s="1974"/>
      <c r="AF94" s="1975"/>
      <c r="AG94" s="3"/>
      <c r="AH94" s="3"/>
      <c r="AI94" s="3"/>
      <c r="AJ94" s="7"/>
      <c r="AK94" s="827"/>
      <c r="AL94" s="827"/>
      <c r="AM94" s="917"/>
      <c r="AN94" s="827"/>
      <c r="AO94" s="917"/>
      <c r="AP94" s="917"/>
      <c r="AQ94" s="827"/>
      <c r="AR94" s="827"/>
      <c r="AS94" s="827"/>
      <c r="AT94" s="917"/>
      <c r="AU94" s="827"/>
      <c r="AV94" s="917"/>
      <c r="AW94" s="917"/>
      <c r="AX94" s="827"/>
      <c r="AY94" s="827"/>
      <c r="AZ94" s="827"/>
      <c r="BA94" s="917"/>
      <c r="BB94" s="827"/>
      <c r="BC94" s="917"/>
      <c r="BD94" s="917"/>
      <c r="BE94" s="827"/>
      <c r="BF94" s="827"/>
      <c r="BG94" s="827"/>
      <c r="BH94" s="917"/>
      <c r="BI94" s="827"/>
      <c r="BJ94" s="917"/>
      <c r="BK94" s="917"/>
      <c r="BL94" s="827"/>
      <c r="BM94" s="827"/>
      <c r="BN94" s="827"/>
      <c r="BO94" s="917"/>
      <c r="BP94" s="333" t="str">
        <f t="shared" si="3"/>
        <v/>
      </c>
    </row>
    <row r="95" spans="2:68" ht="15" customHeight="1">
      <c r="B95" s="1979"/>
      <c r="C95" s="1987"/>
      <c r="D95" s="1987"/>
      <c r="E95" s="1987"/>
      <c r="F95" s="1987"/>
      <c r="G95" s="2030" t="str">
        <f t="shared" si="0"/>
        <v/>
      </c>
      <c r="H95" s="2031"/>
      <c r="I95" s="2031"/>
      <c r="J95" s="2031"/>
      <c r="K95" s="2031"/>
      <c r="L95" s="2031"/>
      <c r="M95" s="2031"/>
      <c r="N95" s="2031"/>
      <c r="O95" s="2031"/>
      <c r="P95" s="2031"/>
      <c r="Q95" s="2031"/>
      <c r="R95" s="2031"/>
      <c r="S95" s="2032"/>
      <c r="T95" s="2033"/>
      <c r="U95" s="2033"/>
      <c r="V95" s="2033"/>
      <c r="W95" s="2033"/>
      <c r="X95" s="1981"/>
      <c r="Y95" s="1981"/>
      <c r="Z95" s="1981"/>
      <c r="AA95" s="1974" t="str">
        <f>BP95</f>
        <v/>
      </c>
      <c r="AB95" s="1974"/>
      <c r="AC95" s="1974"/>
      <c r="AD95" s="1974"/>
      <c r="AE95" s="1974"/>
      <c r="AF95" s="1975"/>
      <c r="AG95" s="3"/>
      <c r="AH95" s="3"/>
      <c r="AI95" s="3"/>
      <c r="AJ95" s="7"/>
      <c r="AK95" s="827"/>
      <c r="AL95" s="827"/>
      <c r="AM95" s="917"/>
      <c r="AN95" s="827"/>
      <c r="AO95" s="917"/>
      <c r="AP95" s="917"/>
      <c r="AQ95" s="827"/>
      <c r="AR95" s="827"/>
      <c r="AS95" s="827"/>
      <c r="AT95" s="917"/>
      <c r="AU95" s="827"/>
      <c r="AV95" s="917"/>
      <c r="AW95" s="917"/>
      <c r="AX95" s="827"/>
      <c r="AY95" s="827"/>
      <c r="AZ95" s="827"/>
      <c r="BA95" s="917"/>
      <c r="BB95" s="827"/>
      <c r="BC95" s="917"/>
      <c r="BD95" s="917"/>
      <c r="BE95" s="827"/>
      <c r="BF95" s="827"/>
      <c r="BG95" s="827"/>
      <c r="BH95" s="917"/>
      <c r="BI95" s="827"/>
      <c r="BJ95" s="917"/>
      <c r="BK95" s="917"/>
      <c r="BL95" s="827"/>
      <c r="BM95" s="827"/>
      <c r="BN95" s="827"/>
      <c r="BO95" s="917"/>
      <c r="BP95" s="333" t="str">
        <f t="shared" si="3"/>
        <v/>
      </c>
    </row>
    <row r="96" spans="2:68" ht="15" customHeight="1">
      <c r="B96" s="1979"/>
      <c r="C96" s="1987"/>
      <c r="D96" s="1987"/>
      <c r="E96" s="1987"/>
      <c r="F96" s="1987"/>
      <c r="G96" s="2030" t="str">
        <f t="shared" si="0"/>
        <v/>
      </c>
      <c r="H96" s="2031"/>
      <c r="I96" s="2031"/>
      <c r="J96" s="2031"/>
      <c r="K96" s="2031"/>
      <c r="L96" s="2031"/>
      <c r="M96" s="2031"/>
      <c r="N96" s="2031"/>
      <c r="O96" s="2031"/>
      <c r="P96" s="2031"/>
      <c r="Q96" s="2031"/>
      <c r="R96" s="2031"/>
      <c r="S96" s="2032"/>
      <c r="T96" s="2033"/>
      <c r="U96" s="2033"/>
      <c r="V96" s="2033"/>
      <c r="W96" s="2033"/>
      <c r="X96" s="1981"/>
      <c r="Y96" s="1981"/>
      <c r="Z96" s="1981"/>
      <c r="AA96" s="1974" t="str">
        <f>BP96</f>
        <v/>
      </c>
      <c r="AB96" s="1974"/>
      <c r="AC96" s="1974"/>
      <c r="AD96" s="1974"/>
      <c r="AE96" s="1974"/>
      <c r="AF96" s="1975"/>
      <c r="AG96" s="3"/>
      <c r="AH96" s="3"/>
      <c r="AI96" s="3"/>
      <c r="AJ96" s="7"/>
      <c r="AK96" s="827"/>
      <c r="AL96" s="827"/>
      <c r="AM96" s="917"/>
      <c r="AN96" s="827"/>
      <c r="AO96" s="917"/>
      <c r="AP96" s="917"/>
      <c r="AQ96" s="827"/>
      <c r="AR96" s="827"/>
      <c r="AS96" s="827"/>
      <c r="AT96" s="917"/>
      <c r="AU96" s="827"/>
      <c r="AV96" s="917"/>
      <c r="AW96" s="917"/>
      <c r="AX96" s="827"/>
      <c r="AY96" s="827"/>
      <c r="AZ96" s="827"/>
      <c r="BA96" s="917"/>
      <c r="BB96" s="827"/>
      <c r="BC96" s="917"/>
      <c r="BD96" s="917"/>
      <c r="BE96" s="827"/>
      <c r="BF96" s="827"/>
      <c r="BG96" s="827"/>
      <c r="BH96" s="917"/>
      <c r="BI96" s="827"/>
      <c r="BJ96" s="917"/>
      <c r="BK96" s="917"/>
      <c r="BL96" s="827"/>
      <c r="BM96" s="827"/>
      <c r="BN96" s="827"/>
      <c r="BO96" s="917"/>
      <c r="BP96" s="333" t="str">
        <f t="shared" si="3"/>
        <v/>
      </c>
    </row>
    <row r="97" spans="2:68" ht="15" customHeight="1">
      <c r="B97" s="1979"/>
      <c r="C97" s="1987"/>
      <c r="D97" s="1987"/>
      <c r="E97" s="1987"/>
      <c r="F97" s="1987"/>
      <c r="G97" s="2030" t="str">
        <f t="shared" si="0"/>
        <v/>
      </c>
      <c r="H97" s="2031"/>
      <c r="I97" s="2031"/>
      <c r="J97" s="2031"/>
      <c r="K97" s="2031"/>
      <c r="L97" s="2031"/>
      <c r="M97" s="2031"/>
      <c r="N97" s="2031"/>
      <c r="O97" s="2031"/>
      <c r="P97" s="2031"/>
      <c r="Q97" s="2031"/>
      <c r="R97" s="2031"/>
      <c r="S97" s="2032"/>
      <c r="T97" s="2033"/>
      <c r="U97" s="2033"/>
      <c r="V97" s="2033"/>
      <c r="W97" s="2033"/>
      <c r="X97" s="1981"/>
      <c r="Y97" s="1981"/>
      <c r="Z97" s="1981"/>
      <c r="AA97" s="1974" t="str">
        <f>BP97</f>
        <v/>
      </c>
      <c r="AB97" s="1974"/>
      <c r="AC97" s="1974"/>
      <c r="AD97" s="1974"/>
      <c r="AE97" s="1974"/>
      <c r="AF97" s="1975"/>
      <c r="AG97" s="3"/>
      <c r="AH97" s="3"/>
      <c r="AI97" s="3"/>
      <c r="AJ97" s="7"/>
      <c r="AK97" s="827"/>
      <c r="AL97" s="827"/>
      <c r="AM97" s="917"/>
      <c r="AN97" s="827"/>
      <c r="AO97" s="917"/>
      <c r="AP97" s="917"/>
      <c r="AQ97" s="827"/>
      <c r="AR97" s="827"/>
      <c r="AS97" s="827"/>
      <c r="AT97" s="917"/>
      <c r="AU97" s="827"/>
      <c r="AV97" s="917"/>
      <c r="AW97" s="917"/>
      <c r="AX97" s="827"/>
      <c r="AY97" s="827"/>
      <c r="AZ97" s="827"/>
      <c r="BA97" s="917"/>
      <c r="BB97" s="827"/>
      <c r="BC97" s="917"/>
      <c r="BD97" s="917"/>
      <c r="BE97" s="827"/>
      <c r="BF97" s="827"/>
      <c r="BG97" s="827"/>
      <c r="BH97" s="917"/>
      <c r="BI97" s="827"/>
      <c r="BJ97" s="917"/>
      <c r="BK97" s="917"/>
      <c r="BL97" s="827"/>
      <c r="BM97" s="827"/>
      <c r="BN97" s="827"/>
      <c r="BO97" s="917"/>
      <c r="BP97" s="333" t="str">
        <f t="shared" si="3"/>
        <v/>
      </c>
    </row>
    <row r="98" spans="2:68" ht="15" customHeight="1">
      <c r="B98" s="1979"/>
      <c r="C98" s="1987"/>
      <c r="D98" s="1987"/>
      <c r="E98" s="1987"/>
      <c r="F98" s="1987"/>
      <c r="G98" s="1988"/>
      <c r="H98" s="1988"/>
      <c r="I98" s="1988"/>
      <c r="J98" s="1988"/>
      <c r="K98" s="1988"/>
      <c r="L98" s="1988"/>
      <c r="M98" s="1988"/>
      <c r="N98" s="1988"/>
      <c r="O98" s="1988"/>
      <c r="P98" s="1988"/>
      <c r="Q98" s="1988"/>
      <c r="R98" s="1988"/>
      <c r="S98" s="1988"/>
      <c r="T98" s="2033"/>
      <c r="U98" s="2033"/>
      <c r="V98" s="2033"/>
      <c r="W98" s="2033"/>
      <c r="X98" s="1981"/>
      <c r="Y98" s="1981"/>
      <c r="Z98" s="1981"/>
      <c r="AA98" s="1982"/>
      <c r="AB98" s="1982"/>
      <c r="AC98" s="1982"/>
      <c r="AD98" s="1974"/>
      <c r="AE98" s="1974"/>
      <c r="AF98" s="1975"/>
      <c r="AG98" s="3"/>
      <c r="AH98" s="3"/>
      <c r="AI98" s="3"/>
      <c r="AJ98" s="7"/>
      <c r="AK98" s="827"/>
      <c r="AL98" s="827"/>
      <c r="AM98" s="917"/>
      <c r="AN98" s="827"/>
      <c r="AO98" s="917"/>
      <c r="AP98" s="917"/>
      <c r="AQ98" s="827"/>
      <c r="AR98" s="827"/>
      <c r="AS98" s="827"/>
      <c r="AT98" s="917"/>
      <c r="AU98" s="827"/>
      <c r="AV98" s="917"/>
      <c r="AW98" s="917"/>
      <c r="AX98" s="827"/>
      <c r="AY98" s="827"/>
      <c r="AZ98" s="827"/>
      <c r="BA98" s="917"/>
      <c r="BB98" s="827"/>
      <c r="BC98" s="917"/>
      <c r="BD98" s="917"/>
      <c r="BE98" s="827"/>
      <c r="BF98" s="827"/>
      <c r="BG98" s="827"/>
      <c r="BH98" s="917"/>
      <c r="BI98" s="827"/>
      <c r="BJ98" s="917"/>
      <c r="BK98" s="917"/>
      <c r="BL98" s="827"/>
      <c r="BM98" s="827"/>
      <c r="BN98" s="827"/>
      <c r="BO98" s="917"/>
      <c r="BP98" s="333" t="str">
        <f t="shared" si="3"/>
        <v/>
      </c>
    </row>
    <row r="99" spans="2:68" ht="15" customHeight="1">
      <c r="B99" s="1979"/>
      <c r="C99" s="1987"/>
      <c r="D99" s="1987"/>
      <c r="E99" s="1987"/>
      <c r="F99" s="1987"/>
      <c r="G99" s="1988"/>
      <c r="H99" s="1988"/>
      <c r="I99" s="1988"/>
      <c r="J99" s="1988"/>
      <c r="K99" s="1988"/>
      <c r="L99" s="1988"/>
      <c r="M99" s="1988"/>
      <c r="N99" s="1988"/>
      <c r="O99" s="1988"/>
      <c r="P99" s="1988"/>
      <c r="Q99" s="1988"/>
      <c r="R99" s="1988"/>
      <c r="S99" s="1988"/>
      <c r="T99" s="1980"/>
      <c r="U99" s="1980"/>
      <c r="V99" s="1980"/>
      <c r="W99" s="1980"/>
      <c r="X99" s="1981"/>
      <c r="Y99" s="1981"/>
      <c r="Z99" s="1981"/>
      <c r="AA99" s="1982"/>
      <c r="AB99" s="1982"/>
      <c r="AC99" s="1982"/>
      <c r="AD99" s="1974"/>
      <c r="AE99" s="1974"/>
      <c r="AF99" s="1975"/>
      <c r="AG99" s="3"/>
      <c r="AH99" s="3"/>
      <c r="AI99" s="3"/>
      <c r="AJ99" s="7"/>
      <c r="AK99" s="827"/>
      <c r="AL99" s="827"/>
      <c r="AM99" s="917"/>
      <c r="AN99" s="827"/>
      <c r="AO99" s="917"/>
      <c r="AP99" s="917"/>
      <c r="AQ99" s="827"/>
      <c r="AR99" s="827"/>
      <c r="AS99" s="827"/>
      <c r="AT99" s="917"/>
      <c r="AU99" s="827"/>
      <c r="AV99" s="917"/>
      <c r="AW99" s="917"/>
      <c r="AX99" s="827"/>
      <c r="AY99" s="827"/>
      <c r="AZ99" s="827"/>
      <c r="BA99" s="917"/>
      <c r="BB99" s="827"/>
      <c r="BC99" s="917"/>
      <c r="BD99" s="917"/>
      <c r="BE99" s="827"/>
      <c r="BF99" s="827"/>
      <c r="BG99" s="827"/>
      <c r="BH99" s="917"/>
      <c r="BI99" s="827"/>
      <c r="BJ99" s="917"/>
      <c r="BK99" s="917"/>
      <c r="BL99" s="827"/>
      <c r="BM99" s="827"/>
      <c r="BN99" s="827"/>
      <c r="BO99" s="917"/>
      <c r="BP99" s="333" t="str">
        <f t="shared" si="3"/>
        <v/>
      </c>
    </row>
    <row r="100" spans="2:68" ht="15" customHeight="1">
      <c r="B100" s="1979"/>
      <c r="C100" s="1987"/>
      <c r="D100" s="1987"/>
      <c r="E100" s="1987"/>
      <c r="F100" s="1987"/>
      <c r="G100" s="1988"/>
      <c r="H100" s="1988"/>
      <c r="I100" s="1988"/>
      <c r="J100" s="1988"/>
      <c r="K100" s="1988"/>
      <c r="L100" s="1988"/>
      <c r="M100" s="1988"/>
      <c r="N100" s="1988"/>
      <c r="O100" s="1988"/>
      <c r="P100" s="1988"/>
      <c r="Q100" s="1988"/>
      <c r="R100" s="1988"/>
      <c r="S100" s="1988"/>
      <c r="T100" s="1980"/>
      <c r="U100" s="1980"/>
      <c r="V100" s="1980"/>
      <c r="W100" s="1980"/>
      <c r="X100" s="1981"/>
      <c r="Y100" s="1981"/>
      <c r="Z100" s="1981"/>
      <c r="AA100" s="1982"/>
      <c r="AB100" s="1982"/>
      <c r="AC100" s="1982"/>
      <c r="AD100" s="1974"/>
      <c r="AE100" s="1974"/>
      <c r="AF100" s="1975"/>
      <c r="AG100" s="3"/>
      <c r="AH100" s="3"/>
      <c r="AI100" s="3"/>
      <c r="AJ100" s="7"/>
      <c r="AK100" s="827"/>
      <c r="AL100" s="827"/>
      <c r="AM100" s="917"/>
      <c r="AN100" s="827"/>
      <c r="AO100" s="917"/>
      <c r="AP100" s="917"/>
      <c r="AQ100" s="827"/>
      <c r="AR100" s="827"/>
      <c r="AS100" s="827"/>
      <c r="AT100" s="917"/>
      <c r="AU100" s="827"/>
      <c r="AV100" s="917"/>
      <c r="AW100" s="917"/>
      <c r="AX100" s="827"/>
      <c r="AY100" s="827"/>
      <c r="AZ100" s="827"/>
      <c r="BA100" s="917"/>
      <c r="BB100" s="827"/>
      <c r="BC100" s="917"/>
      <c r="BD100" s="917"/>
      <c r="BE100" s="827"/>
      <c r="BF100" s="827"/>
      <c r="BG100" s="827"/>
      <c r="BH100" s="917"/>
      <c r="BI100" s="827"/>
      <c r="BJ100" s="917"/>
      <c r="BK100" s="917"/>
      <c r="BL100" s="827"/>
      <c r="BM100" s="827"/>
      <c r="BN100" s="827"/>
      <c r="BO100" s="917"/>
      <c r="BP100" s="333" t="str">
        <f t="shared" si="3"/>
        <v/>
      </c>
    </row>
    <row r="101" spans="2:68" ht="15" customHeight="1">
      <c r="B101" s="1979"/>
      <c r="C101" s="1987"/>
      <c r="D101" s="1987"/>
      <c r="E101" s="1987"/>
      <c r="F101" s="1987"/>
      <c r="G101" s="1988"/>
      <c r="H101" s="1988"/>
      <c r="I101" s="1988"/>
      <c r="J101" s="1988"/>
      <c r="K101" s="1988"/>
      <c r="L101" s="1988"/>
      <c r="M101" s="1988"/>
      <c r="N101" s="1988"/>
      <c r="O101" s="1988"/>
      <c r="P101" s="1988"/>
      <c r="Q101" s="1988"/>
      <c r="R101" s="1988"/>
      <c r="S101" s="1988"/>
      <c r="T101" s="1980"/>
      <c r="U101" s="1980"/>
      <c r="V101" s="1980"/>
      <c r="W101" s="1980"/>
      <c r="X101" s="1981"/>
      <c r="Y101" s="1981"/>
      <c r="Z101" s="1981"/>
      <c r="AA101" s="1982"/>
      <c r="AB101" s="1982"/>
      <c r="AC101" s="1982"/>
      <c r="AD101" s="1974"/>
      <c r="AE101" s="1974"/>
      <c r="AF101" s="1975"/>
      <c r="AG101" s="3"/>
      <c r="AH101" s="3"/>
      <c r="AI101" s="3"/>
      <c r="AJ101" s="7"/>
      <c r="AK101" s="827"/>
      <c r="AL101" s="827"/>
      <c r="AM101" s="917"/>
      <c r="AN101" s="827"/>
      <c r="AO101" s="917"/>
      <c r="AP101" s="917"/>
      <c r="AQ101" s="827"/>
      <c r="AR101" s="827"/>
      <c r="AS101" s="827"/>
      <c r="AT101" s="917"/>
      <c r="AU101" s="827"/>
      <c r="AV101" s="917"/>
      <c r="AW101" s="917"/>
      <c r="AX101" s="827"/>
      <c r="AY101" s="827"/>
      <c r="AZ101" s="827"/>
      <c r="BA101" s="917"/>
      <c r="BB101" s="827"/>
      <c r="BC101" s="917"/>
      <c r="BD101" s="917"/>
      <c r="BE101" s="827"/>
      <c r="BF101" s="827"/>
      <c r="BG101" s="827"/>
      <c r="BH101" s="917"/>
      <c r="BI101" s="827"/>
      <c r="BJ101" s="917"/>
      <c r="BK101" s="917"/>
      <c r="BL101" s="827"/>
      <c r="BM101" s="827"/>
      <c r="BN101" s="827"/>
      <c r="BO101" s="917"/>
      <c r="BP101" s="333" t="str">
        <f t="shared" si="3"/>
        <v/>
      </c>
    </row>
    <row r="102" spans="2:68" ht="15" customHeight="1">
      <c r="B102" s="1979"/>
      <c r="C102" s="1987"/>
      <c r="D102" s="1987"/>
      <c r="E102" s="1987"/>
      <c r="F102" s="1987"/>
      <c r="G102" s="1988"/>
      <c r="H102" s="1988"/>
      <c r="I102" s="1988"/>
      <c r="J102" s="1988"/>
      <c r="K102" s="1988"/>
      <c r="L102" s="1988"/>
      <c r="M102" s="1988"/>
      <c r="N102" s="1988"/>
      <c r="O102" s="1988"/>
      <c r="P102" s="1988"/>
      <c r="Q102" s="1988"/>
      <c r="R102" s="1988"/>
      <c r="S102" s="1988"/>
      <c r="T102" s="1980"/>
      <c r="U102" s="1980"/>
      <c r="V102" s="1980"/>
      <c r="W102" s="1980"/>
      <c r="X102" s="1981"/>
      <c r="Y102" s="1981"/>
      <c r="Z102" s="1981"/>
      <c r="AA102" s="1982"/>
      <c r="AB102" s="1982"/>
      <c r="AC102" s="1982"/>
      <c r="AD102" s="1974"/>
      <c r="AE102" s="1974"/>
      <c r="AF102" s="1975"/>
      <c r="AG102" s="3"/>
      <c r="AH102" s="3"/>
      <c r="AI102" s="3"/>
      <c r="AJ102" s="7"/>
      <c r="AK102" s="827"/>
      <c r="AL102" s="827"/>
      <c r="AM102" s="917"/>
      <c r="AN102" s="827"/>
      <c r="AO102" s="917"/>
      <c r="AP102" s="917"/>
      <c r="AQ102" s="827"/>
      <c r="AR102" s="827"/>
      <c r="AS102" s="827"/>
      <c r="AT102" s="917"/>
      <c r="AU102" s="827"/>
      <c r="AV102" s="917"/>
      <c r="AW102" s="917"/>
      <c r="AX102" s="827"/>
      <c r="AY102" s="827"/>
      <c r="AZ102" s="827"/>
      <c r="BA102" s="917"/>
      <c r="BB102" s="827"/>
      <c r="BC102" s="917"/>
      <c r="BD102" s="917"/>
      <c r="BE102" s="827"/>
      <c r="BF102" s="827"/>
      <c r="BG102" s="827"/>
      <c r="BH102" s="917"/>
      <c r="BI102" s="827"/>
      <c r="BJ102" s="917"/>
      <c r="BK102" s="917"/>
      <c r="BL102" s="827"/>
      <c r="BM102" s="827"/>
      <c r="BN102" s="827"/>
      <c r="BO102" s="917"/>
      <c r="BP102" s="333" t="str">
        <f t="shared" si="3"/>
        <v/>
      </c>
    </row>
    <row r="103" spans="2:68" ht="15" customHeight="1">
      <c r="B103" s="1979"/>
      <c r="C103" s="1987"/>
      <c r="D103" s="1987"/>
      <c r="E103" s="1987"/>
      <c r="F103" s="1987"/>
      <c r="G103" s="1988"/>
      <c r="H103" s="1988"/>
      <c r="I103" s="1988"/>
      <c r="J103" s="1988"/>
      <c r="K103" s="1988"/>
      <c r="L103" s="1988"/>
      <c r="M103" s="1988"/>
      <c r="N103" s="1988"/>
      <c r="O103" s="1988"/>
      <c r="P103" s="1988"/>
      <c r="Q103" s="1988"/>
      <c r="R103" s="1988"/>
      <c r="S103" s="1988"/>
      <c r="T103" s="1980"/>
      <c r="U103" s="1980"/>
      <c r="V103" s="1980"/>
      <c r="W103" s="1980"/>
      <c r="X103" s="1981"/>
      <c r="Y103" s="1981"/>
      <c r="Z103" s="1981"/>
      <c r="AA103" s="1982"/>
      <c r="AB103" s="1982"/>
      <c r="AC103" s="1982"/>
      <c r="AD103" s="1974"/>
      <c r="AE103" s="1974"/>
      <c r="AF103" s="1975"/>
      <c r="AG103" s="3"/>
      <c r="AH103" s="3"/>
      <c r="AI103" s="3"/>
      <c r="AJ103" s="7"/>
      <c r="AK103" s="827"/>
      <c r="AL103" s="827"/>
      <c r="AM103" s="917"/>
      <c r="AN103" s="827"/>
      <c r="AO103" s="917"/>
      <c r="AP103" s="917"/>
      <c r="AQ103" s="827"/>
      <c r="AR103" s="827"/>
      <c r="AS103" s="827"/>
      <c r="AT103" s="917"/>
      <c r="AU103" s="827"/>
      <c r="AV103" s="917"/>
      <c r="AW103" s="917"/>
      <c r="AX103" s="827"/>
      <c r="AY103" s="827"/>
      <c r="AZ103" s="827"/>
      <c r="BA103" s="917"/>
      <c r="BB103" s="827"/>
      <c r="BC103" s="917"/>
      <c r="BD103" s="917"/>
      <c r="BE103" s="827"/>
      <c r="BF103" s="827"/>
      <c r="BG103" s="827"/>
      <c r="BH103" s="917"/>
      <c r="BI103" s="827"/>
      <c r="BJ103" s="917"/>
      <c r="BK103" s="917"/>
      <c r="BL103" s="827"/>
      <c r="BM103" s="827"/>
      <c r="BN103" s="827"/>
      <c r="BO103" s="917"/>
      <c r="BP103" s="333" t="str">
        <f t="shared" si="3"/>
        <v/>
      </c>
    </row>
    <row r="104" spans="2:68" ht="15" customHeight="1">
      <c r="B104" s="1979"/>
      <c r="C104" s="1987"/>
      <c r="D104" s="1987"/>
      <c r="E104" s="1987"/>
      <c r="F104" s="1987"/>
      <c r="G104" s="2014"/>
      <c r="H104" s="2014"/>
      <c r="I104" s="2014"/>
      <c r="J104" s="2014"/>
      <c r="K104" s="2014"/>
      <c r="L104" s="2014"/>
      <c r="M104" s="2014"/>
      <c r="N104" s="2014"/>
      <c r="O104" s="2014"/>
      <c r="P104" s="2014"/>
      <c r="Q104" s="2014"/>
      <c r="R104" s="2014"/>
      <c r="S104" s="2014"/>
      <c r="T104" s="1980"/>
      <c r="U104" s="1980"/>
      <c r="V104" s="1980"/>
      <c r="W104" s="1980"/>
      <c r="X104" s="1981"/>
      <c r="Y104" s="1981"/>
      <c r="Z104" s="1981"/>
      <c r="AA104" s="1982"/>
      <c r="AB104" s="1982"/>
      <c r="AC104" s="1982"/>
      <c r="AD104" s="1974"/>
      <c r="AE104" s="1974"/>
      <c r="AF104" s="1975"/>
      <c r="AG104" s="3"/>
      <c r="AH104" s="3"/>
      <c r="AI104" s="3"/>
      <c r="AJ104" s="7"/>
      <c r="AK104" s="827"/>
      <c r="AL104" s="827"/>
      <c r="AM104" s="917"/>
      <c r="AN104" s="827"/>
      <c r="AO104" s="917"/>
      <c r="AP104" s="917"/>
      <c r="AQ104" s="827"/>
      <c r="AR104" s="827"/>
      <c r="AS104" s="827"/>
      <c r="AT104" s="917"/>
      <c r="AU104" s="827"/>
      <c r="AV104" s="917"/>
      <c r="AW104" s="917"/>
      <c r="AX104" s="827"/>
      <c r="AY104" s="827"/>
      <c r="AZ104" s="827"/>
      <c r="BA104" s="917"/>
      <c r="BB104" s="827"/>
      <c r="BC104" s="917"/>
      <c r="BD104" s="917"/>
      <c r="BE104" s="827"/>
      <c r="BF104" s="827"/>
      <c r="BG104" s="827"/>
      <c r="BH104" s="917"/>
      <c r="BI104" s="827"/>
      <c r="BJ104" s="917"/>
      <c r="BK104" s="917"/>
      <c r="BL104" s="827"/>
      <c r="BM104" s="827"/>
      <c r="BN104" s="827"/>
      <c r="BO104" s="917"/>
      <c r="BP104" s="333"/>
    </row>
    <row r="105" spans="2:68" ht="15" customHeight="1">
      <c r="B105" s="560"/>
      <c r="C105" s="560"/>
      <c r="D105" s="560"/>
      <c r="E105" s="560"/>
      <c r="F105" s="560"/>
      <c r="G105" s="560"/>
      <c r="H105" s="560"/>
      <c r="I105" s="560"/>
      <c r="J105" s="560"/>
      <c r="K105" s="560"/>
      <c r="L105" s="560"/>
      <c r="M105" s="560"/>
      <c r="N105" s="560"/>
      <c r="O105" s="560"/>
      <c r="P105" s="560"/>
      <c r="Q105" s="560"/>
      <c r="R105" s="560"/>
      <c r="S105" s="560"/>
      <c r="T105" s="560"/>
      <c r="U105" s="560"/>
      <c r="V105" s="560"/>
      <c r="W105" s="560"/>
      <c r="X105" s="560"/>
      <c r="Y105" s="560"/>
      <c r="Z105" s="560"/>
      <c r="AA105" s="560"/>
      <c r="AB105" s="560"/>
      <c r="AC105" s="560"/>
      <c r="AD105" s="560"/>
      <c r="AE105" s="560"/>
      <c r="AF105" s="560"/>
      <c r="AG105" s="3"/>
      <c r="AH105" s="3"/>
      <c r="AI105" s="3"/>
      <c r="AJ105" s="3"/>
      <c r="AK105" s="1278"/>
      <c r="AL105" s="1278"/>
      <c r="AM105" s="1278"/>
      <c r="AN105" s="1278"/>
      <c r="AO105" s="1278"/>
      <c r="AP105" s="1278"/>
      <c r="AQ105" s="1278"/>
      <c r="AR105" s="1278"/>
      <c r="AS105" s="1278"/>
      <c r="AT105" s="1278"/>
      <c r="AU105" s="1278"/>
      <c r="AV105" s="1278"/>
      <c r="AW105" s="1278"/>
      <c r="AX105" s="1278"/>
      <c r="AY105" s="1278"/>
      <c r="AZ105" s="1278"/>
      <c r="BA105" s="1278"/>
      <c r="BB105" s="1278"/>
      <c r="BC105" s="1278"/>
      <c r="BD105" s="1278"/>
      <c r="BE105" s="1278"/>
      <c r="BF105" s="1278"/>
      <c r="BG105" s="1278"/>
      <c r="BH105" s="1278"/>
      <c r="BI105" s="1278"/>
      <c r="BJ105" s="1278"/>
      <c r="BK105" s="1278"/>
      <c r="BL105" s="1279"/>
      <c r="BM105" s="1278"/>
      <c r="BN105" s="1278"/>
      <c r="BO105" s="1278"/>
      <c r="BP105" s="333"/>
    </row>
    <row r="106" spans="2:68" ht="15" customHeight="1">
      <c r="B106" s="1984" t="s">
        <v>42</v>
      </c>
      <c r="C106" s="1985"/>
      <c r="D106" s="1985"/>
      <c r="E106" s="1985"/>
      <c r="F106" s="1985"/>
      <c r="G106" s="1985"/>
      <c r="H106" s="1985"/>
      <c r="I106" s="1985"/>
      <c r="J106" s="1985"/>
      <c r="K106" s="1985"/>
      <c r="L106" s="1985"/>
      <c r="M106" s="1985"/>
      <c r="N106" s="1985"/>
      <c r="O106" s="1985"/>
      <c r="P106" s="1985"/>
      <c r="Q106" s="1985"/>
      <c r="R106" s="1985"/>
      <c r="S106" s="1985"/>
      <c r="T106" s="1985"/>
      <c r="U106" s="1985"/>
      <c r="V106" s="1985"/>
      <c r="W106" s="1985"/>
      <c r="X106" s="1985"/>
      <c r="Y106" s="1985"/>
      <c r="Z106" s="1985"/>
      <c r="AA106" s="1985"/>
      <c r="AB106" s="1985"/>
      <c r="AC106" s="1985"/>
      <c r="AD106" s="1985"/>
      <c r="AE106" s="1985"/>
      <c r="AF106" s="1986"/>
      <c r="AG106" s="3"/>
      <c r="AH106" s="3"/>
      <c r="AI106" s="3"/>
      <c r="AJ106" s="4"/>
      <c r="AK106" s="826">
        <v>1</v>
      </c>
      <c r="AL106" s="826">
        <v>2</v>
      </c>
      <c r="AM106" s="826">
        <v>3</v>
      </c>
      <c r="AN106" s="826">
        <v>4</v>
      </c>
      <c r="AO106" s="826">
        <v>5</v>
      </c>
      <c r="AP106" s="826">
        <v>6</v>
      </c>
      <c r="AQ106" s="826">
        <v>7</v>
      </c>
      <c r="AR106" s="826">
        <v>8</v>
      </c>
      <c r="AS106" s="826">
        <v>9</v>
      </c>
      <c r="AT106" s="826">
        <v>10</v>
      </c>
      <c r="AU106" s="826">
        <v>11</v>
      </c>
      <c r="AV106" s="826">
        <v>12</v>
      </c>
      <c r="AW106" s="826">
        <v>13</v>
      </c>
      <c r="AX106" s="826">
        <v>14</v>
      </c>
      <c r="AY106" s="826">
        <v>15</v>
      </c>
      <c r="AZ106" s="826">
        <v>16</v>
      </c>
      <c r="BA106" s="826">
        <v>17</v>
      </c>
      <c r="BB106" s="826">
        <v>18</v>
      </c>
      <c r="BC106" s="826">
        <v>19</v>
      </c>
      <c r="BD106" s="826">
        <v>20</v>
      </c>
      <c r="BE106" s="826">
        <v>21</v>
      </c>
      <c r="BF106" s="826">
        <v>22</v>
      </c>
      <c r="BG106" s="826">
        <v>23</v>
      </c>
      <c r="BH106" s="826">
        <v>24</v>
      </c>
      <c r="BI106" s="826">
        <v>25</v>
      </c>
      <c r="BJ106" s="826">
        <v>26</v>
      </c>
      <c r="BK106" s="826">
        <v>27</v>
      </c>
      <c r="BL106" s="826">
        <v>28</v>
      </c>
      <c r="BM106" s="826">
        <v>29</v>
      </c>
      <c r="BN106" s="826">
        <v>30</v>
      </c>
      <c r="BO106" s="826"/>
      <c r="BP106" s="333"/>
    </row>
    <row r="107" spans="2:68" ht="15" customHeight="1">
      <c r="B107" s="1979">
        <v>1</v>
      </c>
      <c r="C107" s="1987"/>
      <c r="D107" s="1987"/>
      <c r="E107" s="1987"/>
      <c r="F107" s="1987"/>
      <c r="G107" s="1988" t="str">
        <f t="shared" ref="G107:G118" si="4">IF(AJ107="","",AJ107)</f>
        <v>Ajudante Prático</v>
      </c>
      <c r="H107" s="1988"/>
      <c r="I107" s="1988"/>
      <c r="J107" s="1988"/>
      <c r="K107" s="1988"/>
      <c r="L107" s="1988"/>
      <c r="M107" s="1988"/>
      <c r="N107" s="1988"/>
      <c r="O107" s="1988"/>
      <c r="P107" s="1988"/>
      <c r="Q107" s="1988"/>
      <c r="R107" s="1988"/>
      <c r="S107" s="1988"/>
      <c r="T107" s="2021" t="s">
        <v>892</v>
      </c>
      <c r="U107" s="2022"/>
      <c r="V107" s="2022"/>
      <c r="W107" s="2023"/>
      <c r="X107" s="2027">
        <f>AA107</f>
        <v>0</v>
      </c>
      <c r="Y107" s="2027"/>
      <c r="Z107" s="2027"/>
      <c r="AA107" s="2019">
        <f>BP107</f>
        <v>0</v>
      </c>
      <c r="AB107" s="2019"/>
      <c r="AC107" s="2019"/>
      <c r="AD107" s="2012"/>
      <c r="AE107" s="2012"/>
      <c r="AF107" s="2013"/>
      <c r="AG107" s="3"/>
      <c r="AH107" s="3"/>
      <c r="AI107" s="3"/>
      <c r="AJ107" s="7" t="s">
        <v>732</v>
      </c>
      <c r="AK107" s="917">
        <v>0</v>
      </c>
      <c r="AL107" s="917">
        <v>0</v>
      </c>
      <c r="AM107" s="917"/>
      <c r="AN107" s="917"/>
      <c r="AO107" s="917">
        <v>0</v>
      </c>
      <c r="AP107" s="917">
        <v>0</v>
      </c>
      <c r="AQ107" s="917">
        <v>0</v>
      </c>
      <c r="AR107" s="917"/>
      <c r="AS107" s="917">
        <v>0</v>
      </c>
      <c r="AT107" s="917"/>
      <c r="AU107" s="917"/>
      <c r="AV107" s="917">
        <v>0</v>
      </c>
      <c r="AW107" s="917">
        <v>0</v>
      </c>
      <c r="AX107" s="917">
        <v>0</v>
      </c>
      <c r="AY107" s="917">
        <v>0</v>
      </c>
      <c r="AZ107" s="917">
        <v>0</v>
      </c>
      <c r="BA107" s="917"/>
      <c r="BB107" s="917"/>
      <c r="BC107" s="917">
        <v>0</v>
      </c>
      <c r="BD107" s="917">
        <v>0</v>
      </c>
      <c r="BE107" s="917">
        <v>0</v>
      </c>
      <c r="BF107" s="917">
        <v>0</v>
      </c>
      <c r="BG107" s="917">
        <v>0</v>
      </c>
      <c r="BH107" s="917"/>
      <c r="BI107" s="917"/>
      <c r="BJ107" s="917">
        <v>0</v>
      </c>
      <c r="BK107" s="917">
        <v>0</v>
      </c>
      <c r="BL107" s="917"/>
      <c r="BM107" s="917"/>
      <c r="BN107" s="1555"/>
      <c r="BO107" s="1335"/>
      <c r="BP107" s="333">
        <f>IFERROR(AVERAGE((AK107:BO107)),"")</f>
        <v>0</v>
      </c>
    </row>
    <row r="108" spans="2:68" ht="15" customHeight="1">
      <c r="B108" s="2020">
        <f t="shared" ref="B108:B113" si="5">B107+1</f>
        <v>2</v>
      </c>
      <c r="C108" s="2020"/>
      <c r="D108" s="2020"/>
      <c r="E108" s="2020"/>
      <c r="F108" s="1979"/>
      <c r="G108" s="1988" t="str">
        <f t="shared" si="4"/>
        <v>Auxiliar de Obras</v>
      </c>
      <c r="H108" s="1988"/>
      <c r="I108" s="1988"/>
      <c r="J108" s="1988"/>
      <c r="K108" s="1988"/>
      <c r="L108" s="1988"/>
      <c r="M108" s="1988"/>
      <c r="N108" s="1988"/>
      <c r="O108" s="1988"/>
      <c r="P108" s="1988"/>
      <c r="Q108" s="1988"/>
      <c r="R108" s="1988"/>
      <c r="S108" s="1988"/>
      <c r="T108" s="2021" t="s">
        <v>892</v>
      </c>
      <c r="U108" s="2022"/>
      <c r="V108" s="2022"/>
      <c r="W108" s="2023"/>
      <c r="X108" s="2027">
        <f t="shared" ref="X108:X112" si="6">AA108</f>
        <v>4</v>
      </c>
      <c r="Y108" s="2027"/>
      <c r="Z108" s="2027"/>
      <c r="AA108" s="2019">
        <f t="shared" ref="AA108:AA116" si="7">BP108</f>
        <v>4</v>
      </c>
      <c r="AB108" s="2019"/>
      <c r="AC108" s="2019"/>
      <c r="AD108" s="1975"/>
      <c r="AE108" s="1983"/>
      <c r="AF108" s="1983"/>
      <c r="AG108" s="3"/>
      <c r="AH108" s="3"/>
      <c r="AI108" s="3"/>
      <c r="AJ108" s="7" t="s">
        <v>733</v>
      </c>
      <c r="AK108" s="917">
        <v>4</v>
      </c>
      <c r="AL108" s="917">
        <v>4</v>
      </c>
      <c r="AM108" s="917"/>
      <c r="AN108" s="917"/>
      <c r="AO108" s="917">
        <v>4</v>
      </c>
      <c r="AP108" s="917">
        <v>4</v>
      </c>
      <c r="AQ108" s="917">
        <v>4</v>
      </c>
      <c r="AR108" s="917"/>
      <c r="AS108" s="917">
        <v>4</v>
      </c>
      <c r="AT108" s="917"/>
      <c r="AU108" s="917"/>
      <c r="AV108" s="917">
        <v>4</v>
      </c>
      <c r="AW108" s="917">
        <v>4</v>
      </c>
      <c r="AX108" s="917">
        <v>4</v>
      </c>
      <c r="AY108" s="917">
        <v>4</v>
      </c>
      <c r="AZ108" s="917">
        <v>4</v>
      </c>
      <c r="BA108" s="917"/>
      <c r="BB108" s="917"/>
      <c r="BC108" s="917">
        <v>4</v>
      </c>
      <c r="BD108" s="917">
        <v>4</v>
      </c>
      <c r="BE108" s="917">
        <v>4</v>
      </c>
      <c r="BF108" s="917">
        <v>4</v>
      </c>
      <c r="BG108" s="917">
        <v>4</v>
      </c>
      <c r="BH108" s="917"/>
      <c r="BI108" s="917"/>
      <c r="BJ108" s="917">
        <v>4</v>
      </c>
      <c r="BK108" s="917">
        <v>4</v>
      </c>
      <c r="BL108" s="917"/>
      <c r="BM108" s="917"/>
      <c r="BN108" s="1555"/>
      <c r="BO108" s="1335"/>
      <c r="BP108" s="333">
        <f t="shared" ref="BP108:BP133" si="8">IFERROR(AVERAGE((AK108:BO108)),"")</f>
        <v>4</v>
      </c>
    </row>
    <row r="109" spans="2:68" ht="15" customHeight="1">
      <c r="B109" s="1979">
        <f t="shared" si="5"/>
        <v>3</v>
      </c>
      <c r="C109" s="1987"/>
      <c r="D109" s="1987"/>
      <c r="E109" s="1987"/>
      <c r="F109" s="1987"/>
      <c r="G109" s="1988" t="str">
        <f t="shared" si="4"/>
        <v>Encarregado</v>
      </c>
      <c r="H109" s="1988"/>
      <c r="I109" s="1988"/>
      <c r="J109" s="1988"/>
      <c r="K109" s="1988"/>
      <c r="L109" s="1988"/>
      <c r="M109" s="1988"/>
      <c r="N109" s="1988"/>
      <c r="O109" s="1988"/>
      <c r="P109" s="1988"/>
      <c r="Q109" s="1988"/>
      <c r="R109" s="1988"/>
      <c r="S109" s="1988"/>
      <c r="T109" s="2021" t="s">
        <v>892</v>
      </c>
      <c r="U109" s="2022"/>
      <c r="V109" s="2022"/>
      <c r="W109" s="2023"/>
      <c r="X109" s="2027">
        <f t="shared" si="6"/>
        <v>1</v>
      </c>
      <c r="Y109" s="2027"/>
      <c r="Z109" s="2027"/>
      <c r="AA109" s="2019">
        <f t="shared" si="7"/>
        <v>1</v>
      </c>
      <c r="AB109" s="2019"/>
      <c r="AC109" s="2019"/>
      <c r="AD109" s="1974"/>
      <c r="AE109" s="1974"/>
      <c r="AF109" s="1975"/>
      <c r="AG109" s="3"/>
      <c r="AH109" s="3"/>
      <c r="AI109" s="3"/>
      <c r="AJ109" s="7" t="s">
        <v>400</v>
      </c>
      <c r="AK109" s="1555">
        <v>1</v>
      </c>
      <c r="AL109" s="1555">
        <v>1</v>
      </c>
      <c r="AM109" s="1555"/>
      <c r="AN109" s="1555"/>
      <c r="AO109" s="1555">
        <v>1</v>
      </c>
      <c r="AP109" s="1555">
        <v>1</v>
      </c>
      <c r="AQ109" s="1555">
        <v>1</v>
      </c>
      <c r="AR109" s="1555"/>
      <c r="AS109" s="1555">
        <v>1</v>
      </c>
      <c r="AT109" s="1555"/>
      <c r="AU109" s="1555"/>
      <c r="AV109" s="1555">
        <v>1</v>
      </c>
      <c r="AW109" s="1555">
        <v>1</v>
      </c>
      <c r="AX109" s="1555">
        <v>1</v>
      </c>
      <c r="AY109" s="1555">
        <v>1</v>
      </c>
      <c r="AZ109" s="1555">
        <v>1</v>
      </c>
      <c r="BA109" s="1555"/>
      <c r="BB109" s="1555"/>
      <c r="BC109" s="1555">
        <v>1</v>
      </c>
      <c r="BD109" s="1555">
        <v>1</v>
      </c>
      <c r="BE109" s="1555">
        <v>1</v>
      </c>
      <c r="BF109" s="1555">
        <v>1</v>
      </c>
      <c r="BG109" s="1555">
        <v>1</v>
      </c>
      <c r="BH109" s="1555"/>
      <c r="BI109" s="1555"/>
      <c r="BJ109" s="1555">
        <v>1</v>
      </c>
      <c r="BK109" s="1555">
        <v>1</v>
      </c>
      <c r="BL109" s="1555"/>
      <c r="BM109" s="917"/>
      <c r="BN109" s="1555"/>
      <c r="BO109" s="1335"/>
      <c r="BP109" s="333">
        <f t="shared" si="8"/>
        <v>1</v>
      </c>
    </row>
    <row r="110" spans="2:68" ht="15" customHeight="1">
      <c r="B110" s="2020">
        <f t="shared" si="5"/>
        <v>4</v>
      </c>
      <c r="C110" s="2020"/>
      <c r="D110" s="2020"/>
      <c r="E110" s="2020"/>
      <c r="F110" s="1979"/>
      <c r="G110" s="1988" t="str">
        <f t="shared" si="4"/>
        <v>Encarregado Geral</v>
      </c>
      <c r="H110" s="1988"/>
      <c r="I110" s="1988"/>
      <c r="J110" s="1988"/>
      <c r="K110" s="1988"/>
      <c r="L110" s="1988"/>
      <c r="M110" s="1988"/>
      <c r="N110" s="1988"/>
      <c r="O110" s="1988"/>
      <c r="P110" s="1988"/>
      <c r="Q110" s="1988"/>
      <c r="R110" s="1988"/>
      <c r="S110" s="1988"/>
      <c r="T110" s="2021" t="s">
        <v>892</v>
      </c>
      <c r="U110" s="2022"/>
      <c r="V110" s="2022"/>
      <c r="W110" s="2023"/>
      <c r="X110" s="2027">
        <f t="shared" si="6"/>
        <v>1</v>
      </c>
      <c r="Y110" s="2027"/>
      <c r="Z110" s="2027"/>
      <c r="AA110" s="2019">
        <f t="shared" si="7"/>
        <v>1</v>
      </c>
      <c r="AB110" s="2019"/>
      <c r="AC110" s="2019"/>
      <c r="AD110" s="1974"/>
      <c r="AE110" s="1974"/>
      <c r="AF110" s="1975"/>
      <c r="AG110" s="3"/>
      <c r="AH110" s="3"/>
      <c r="AI110" s="3"/>
      <c r="AJ110" s="7" t="s">
        <v>730</v>
      </c>
      <c r="AK110" s="917">
        <v>1</v>
      </c>
      <c r="AL110" s="917">
        <v>1</v>
      </c>
      <c r="AM110" s="917"/>
      <c r="AN110" s="917"/>
      <c r="AO110" s="917">
        <v>1</v>
      </c>
      <c r="AP110" s="917">
        <v>1</v>
      </c>
      <c r="AQ110" s="917">
        <v>1</v>
      </c>
      <c r="AR110" s="1555"/>
      <c r="AS110" s="917">
        <v>1</v>
      </c>
      <c r="AT110" s="1555"/>
      <c r="AU110" s="1555"/>
      <c r="AV110" s="917">
        <v>1</v>
      </c>
      <c r="AW110" s="917">
        <v>1</v>
      </c>
      <c r="AX110" s="917">
        <v>1</v>
      </c>
      <c r="AY110" s="917">
        <v>1</v>
      </c>
      <c r="AZ110" s="917">
        <v>1</v>
      </c>
      <c r="BA110" s="1555"/>
      <c r="BB110" s="1555"/>
      <c r="BC110" s="917">
        <v>1</v>
      </c>
      <c r="BD110" s="917">
        <v>1</v>
      </c>
      <c r="BE110" s="917">
        <v>1</v>
      </c>
      <c r="BF110" s="917">
        <v>1</v>
      </c>
      <c r="BG110" s="917">
        <v>1</v>
      </c>
      <c r="BH110" s="1555"/>
      <c r="BI110" s="1555"/>
      <c r="BJ110" s="917">
        <v>1</v>
      </c>
      <c r="BK110" s="917">
        <v>1</v>
      </c>
      <c r="BL110" s="917"/>
      <c r="BM110" s="917"/>
      <c r="BN110" s="1555"/>
      <c r="BO110" s="1335"/>
      <c r="BP110" s="333">
        <f t="shared" si="8"/>
        <v>1</v>
      </c>
    </row>
    <row r="111" spans="2:68" ht="15" customHeight="1">
      <c r="B111" s="2020">
        <f t="shared" si="5"/>
        <v>5</v>
      </c>
      <c r="C111" s="2020"/>
      <c r="D111" s="2020"/>
      <c r="E111" s="2020"/>
      <c r="F111" s="1979"/>
      <c r="G111" s="1988" t="str">
        <f t="shared" si="4"/>
        <v>Oficial</v>
      </c>
      <c r="H111" s="1988"/>
      <c r="I111" s="1988"/>
      <c r="J111" s="1988"/>
      <c r="K111" s="1988"/>
      <c r="L111" s="1988"/>
      <c r="M111" s="1988"/>
      <c r="N111" s="1988"/>
      <c r="O111" s="1988"/>
      <c r="P111" s="1988"/>
      <c r="Q111" s="1988"/>
      <c r="R111" s="1988"/>
      <c r="S111" s="1988"/>
      <c r="T111" s="2021" t="s">
        <v>892</v>
      </c>
      <c r="U111" s="2022"/>
      <c r="V111" s="2022"/>
      <c r="W111" s="2023"/>
      <c r="X111" s="2027">
        <f t="shared" si="6"/>
        <v>2</v>
      </c>
      <c r="Y111" s="2027"/>
      <c r="Z111" s="2027"/>
      <c r="AA111" s="2019">
        <f t="shared" si="7"/>
        <v>2</v>
      </c>
      <c r="AB111" s="2019"/>
      <c r="AC111" s="2019"/>
      <c r="AD111" s="1974"/>
      <c r="AE111" s="1974"/>
      <c r="AF111" s="1975"/>
      <c r="AG111" s="3"/>
      <c r="AH111" s="3"/>
      <c r="AI111" s="3"/>
      <c r="AJ111" s="7" t="s">
        <v>731</v>
      </c>
      <c r="AK111" s="917">
        <v>2</v>
      </c>
      <c r="AL111" s="917">
        <v>2</v>
      </c>
      <c r="AM111" s="917"/>
      <c r="AN111" s="917"/>
      <c r="AO111" s="917">
        <v>2</v>
      </c>
      <c r="AP111" s="917">
        <v>2</v>
      </c>
      <c r="AQ111" s="917">
        <v>2</v>
      </c>
      <c r="AR111" s="917"/>
      <c r="AS111" s="917">
        <v>2</v>
      </c>
      <c r="AT111" s="917"/>
      <c r="AU111" s="917"/>
      <c r="AV111" s="917">
        <v>2</v>
      </c>
      <c r="AW111" s="917">
        <v>2</v>
      </c>
      <c r="AX111" s="917">
        <v>2</v>
      </c>
      <c r="AY111" s="917">
        <v>2</v>
      </c>
      <c r="AZ111" s="917">
        <v>2</v>
      </c>
      <c r="BA111" s="917"/>
      <c r="BB111" s="917"/>
      <c r="BC111" s="917">
        <v>2</v>
      </c>
      <c r="BD111" s="917">
        <v>2</v>
      </c>
      <c r="BE111" s="917">
        <v>2</v>
      </c>
      <c r="BF111" s="917">
        <v>2</v>
      </c>
      <c r="BG111" s="917">
        <v>2</v>
      </c>
      <c r="BH111" s="917"/>
      <c r="BI111" s="917"/>
      <c r="BJ111" s="917">
        <v>2</v>
      </c>
      <c r="BK111" s="917">
        <v>2</v>
      </c>
      <c r="BL111" s="917"/>
      <c r="BM111" s="917"/>
      <c r="BN111" s="1555"/>
      <c r="BO111" s="1335"/>
      <c r="BP111" s="333">
        <f t="shared" si="8"/>
        <v>2</v>
      </c>
    </row>
    <row r="112" spans="2:68" ht="15" customHeight="1">
      <c r="B112" s="2020">
        <f t="shared" si="5"/>
        <v>6</v>
      </c>
      <c r="C112" s="2020"/>
      <c r="D112" s="2020"/>
      <c r="E112" s="2020"/>
      <c r="F112" s="1979"/>
      <c r="G112" s="1988" t="str">
        <f t="shared" si="4"/>
        <v>Operador de Retro</v>
      </c>
      <c r="H112" s="1988"/>
      <c r="I112" s="1988"/>
      <c r="J112" s="1988"/>
      <c r="K112" s="1988"/>
      <c r="L112" s="1988"/>
      <c r="M112" s="1988"/>
      <c r="N112" s="1988"/>
      <c r="O112" s="1988"/>
      <c r="P112" s="1988"/>
      <c r="Q112" s="1988"/>
      <c r="R112" s="1988"/>
      <c r="S112" s="1988"/>
      <c r="T112" s="2021" t="s">
        <v>892</v>
      </c>
      <c r="U112" s="2022"/>
      <c r="V112" s="2022"/>
      <c r="W112" s="2023"/>
      <c r="X112" s="2027">
        <f t="shared" si="6"/>
        <v>1</v>
      </c>
      <c r="Y112" s="2027"/>
      <c r="Z112" s="2027"/>
      <c r="AA112" s="2019">
        <f t="shared" si="7"/>
        <v>1</v>
      </c>
      <c r="AB112" s="2019"/>
      <c r="AC112" s="2019"/>
      <c r="AD112" s="1974"/>
      <c r="AE112" s="1974"/>
      <c r="AF112" s="1975"/>
      <c r="AG112" s="3"/>
      <c r="AH112" s="3"/>
      <c r="AI112" s="3"/>
      <c r="AJ112" s="7" t="s">
        <v>734</v>
      </c>
      <c r="AK112" s="917">
        <v>1</v>
      </c>
      <c r="AL112" s="917">
        <v>1</v>
      </c>
      <c r="AM112" s="917"/>
      <c r="AN112" s="917"/>
      <c r="AO112" s="917">
        <v>1</v>
      </c>
      <c r="AP112" s="917">
        <v>1</v>
      </c>
      <c r="AQ112" s="917">
        <v>1</v>
      </c>
      <c r="AR112" s="917"/>
      <c r="AS112" s="917">
        <v>1</v>
      </c>
      <c r="AT112" s="917"/>
      <c r="AU112" s="917"/>
      <c r="AV112" s="917">
        <v>1</v>
      </c>
      <c r="AW112" s="917">
        <v>1</v>
      </c>
      <c r="AX112" s="917">
        <v>1</v>
      </c>
      <c r="AY112" s="917">
        <v>1</v>
      </c>
      <c r="AZ112" s="917">
        <v>1</v>
      </c>
      <c r="BA112" s="917"/>
      <c r="BB112" s="917"/>
      <c r="BC112" s="917">
        <v>1</v>
      </c>
      <c r="BD112" s="917">
        <v>1</v>
      </c>
      <c r="BE112" s="917">
        <v>1</v>
      </c>
      <c r="BF112" s="917">
        <v>1</v>
      </c>
      <c r="BG112" s="917">
        <v>1</v>
      </c>
      <c r="BH112" s="917"/>
      <c r="BI112" s="917"/>
      <c r="BJ112" s="917">
        <v>1</v>
      </c>
      <c r="BK112" s="917">
        <v>1</v>
      </c>
      <c r="BL112" s="917"/>
      <c r="BM112" s="917"/>
      <c r="BN112" s="1555"/>
      <c r="BO112" s="1335"/>
      <c r="BP112" s="333">
        <f t="shared" si="8"/>
        <v>1</v>
      </c>
    </row>
    <row r="113" spans="2:69" ht="15" customHeight="1">
      <c r="B113" s="2020">
        <f t="shared" si="5"/>
        <v>7</v>
      </c>
      <c r="C113" s="2020"/>
      <c r="D113" s="2020"/>
      <c r="E113" s="2020"/>
      <c r="F113" s="1979"/>
      <c r="G113" s="1988" t="str">
        <f t="shared" ref="G113" si="9">IF(AJ113="","",AJ113)</f>
        <v>Operador de Escavadeira</v>
      </c>
      <c r="H113" s="1988"/>
      <c r="I113" s="1988"/>
      <c r="J113" s="1988"/>
      <c r="K113" s="1988"/>
      <c r="L113" s="1988"/>
      <c r="M113" s="1988"/>
      <c r="N113" s="1988"/>
      <c r="O113" s="1988"/>
      <c r="P113" s="1988"/>
      <c r="Q113" s="1988"/>
      <c r="R113" s="1988"/>
      <c r="S113" s="1988"/>
      <c r="T113" s="2021" t="s">
        <v>893</v>
      </c>
      <c r="U113" s="2022"/>
      <c r="V113" s="2022"/>
      <c r="W113" s="2023"/>
      <c r="X113" s="2027">
        <f t="shared" ref="X113" si="10">AA113</f>
        <v>0</v>
      </c>
      <c r="Y113" s="2027"/>
      <c r="Z113" s="2027"/>
      <c r="AA113" s="2019">
        <f t="shared" si="7"/>
        <v>0</v>
      </c>
      <c r="AB113" s="2019"/>
      <c r="AC113" s="2019"/>
      <c r="AD113" s="1974"/>
      <c r="AE113" s="1974"/>
      <c r="AF113" s="1975"/>
      <c r="AG113" s="3"/>
      <c r="AH113" s="3"/>
      <c r="AI113" s="3"/>
      <c r="AJ113" s="353" t="s">
        <v>875</v>
      </c>
      <c r="AK113" s="917">
        <v>0</v>
      </c>
      <c r="AL113" s="917">
        <v>0</v>
      </c>
      <c r="AM113" s="917"/>
      <c r="AN113" s="917"/>
      <c r="AO113" s="917">
        <v>0</v>
      </c>
      <c r="AP113" s="917">
        <v>0</v>
      </c>
      <c r="AQ113" s="917">
        <v>0</v>
      </c>
      <c r="AR113" s="917"/>
      <c r="AS113" s="917">
        <v>0</v>
      </c>
      <c r="AT113" s="917"/>
      <c r="AU113" s="917"/>
      <c r="AV113" s="917">
        <v>0</v>
      </c>
      <c r="AW113" s="917">
        <v>0</v>
      </c>
      <c r="AX113" s="917">
        <v>0</v>
      </c>
      <c r="AY113" s="917">
        <v>0</v>
      </c>
      <c r="AZ113" s="917">
        <v>0</v>
      </c>
      <c r="BA113" s="917"/>
      <c r="BB113" s="917"/>
      <c r="BC113" s="917">
        <v>0</v>
      </c>
      <c r="BD113" s="917">
        <v>0</v>
      </c>
      <c r="BE113" s="917">
        <v>0</v>
      </c>
      <c r="BF113" s="917">
        <v>0</v>
      </c>
      <c r="BG113" s="917">
        <v>0</v>
      </c>
      <c r="BH113" s="917"/>
      <c r="BI113" s="917"/>
      <c r="BJ113" s="917">
        <v>0</v>
      </c>
      <c r="BK113" s="917">
        <v>0</v>
      </c>
      <c r="BL113" s="917"/>
      <c r="BM113" s="917"/>
      <c r="BN113" s="1555"/>
      <c r="BO113" s="1335"/>
      <c r="BP113" s="333">
        <f t="shared" si="8"/>
        <v>0</v>
      </c>
    </row>
    <row r="114" spans="2:69" ht="15" customHeight="1">
      <c r="B114" s="2020">
        <v>8</v>
      </c>
      <c r="C114" s="2020"/>
      <c r="D114" s="2020"/>
      <c r="E114" s="2020"/>
      <c r="F114" s="1979"/>
      <c r="G114" s="2014" t="str">
        <f t="shared" si="4"/>
        <v>Equipe de pavimentção</v>
      </c>
      <c r="H114" s="2014"/>
      <c r="I114" s="2014"/>
      <c r="J114" s="2014"/>
      <c r="K114" s="2014"/>
      <c r="L114" s="2014"/>
      <c r="M114" s="2014"/>
      <c r="N114" s="2014"/>
      <c r="O114" s="2014"/>
      <c r="P114" s="2014"/>
      <c r="Q114" s="2014"/>
      <c r="R114" s="2014"/>
      <c r="S114" s="2014"/>
      <c r="T114" s="2021" t="s">
        <v>893</v>
      </c>
      <c r="U114" s="2022"/>
      <c r="V114" s="2022"/>
      <c r="W114" s="2023"/>
      <c r="X114" s="2027">
        <f t="shared" ref="X114" si="11">AA114</f>
        <v>2</v>
      </c>
      <c r="Y114" s="2027"/>
      <c r="Z114" s="2027"/>
      <c r="AA114" s="2019">
        <f t="shared" si="7"/>
        <v>2</v>
      </c>
      <c r="AB114" s="2019"/>
      <c r="AC114" s="2019"/>
      <c r="AD114" s="1974"/>
      <c r="AE114" s="1974"/>
      <c r="AF114" s="1975"/>
      <c r="AG114" s="3"/>
      <c r="AH114" s="3"/>
      <c r="AI114" s="3"/>
      <c r="AJ114" s="1245" t="s">
        <v>974</v>
      </c>
      <c r="AK114" s="917">
        <v>2</v>
      </c>
      <c r="AL114" s="917">
        <v>2</v>
      </c>
      <c r="AM114" s="917"/>
      <c r="AN114" s="917"/>
      <c r="AO114" s="917">
        <v>2</v>
      </c>
      <c r="AP114" s="917">
        <v>2</v>
      </c>
      <c r="AQ114" s="917">
        <v>2</v>
      </c>
      <c r="AR114" s="1556"/>
      <c r="AS114" s="917">
        <v>2</v>
      </c>
      <c r="AT114" s="917"/>
      <c r="AU114" s="917"/>
      <c r="AV114" s="917">
        <v>2</v>
      </c>
      <c r="AW114" s="917">
        <v>2</v>
      </c>
      <c r="AX114" s="917">
        <v>2</v>
      </c>
      <c r="AY114" s="917">
        <v>2</v>
      </c>
      <c r="AZ114" s="917">
        <v>2</v>
      </c>
      <c r="BA114" s="917"/>
      <c r="BB114" s="917"/>
      <c r="BC114" s="917">
        <v>2</v>
      </c>
      <c r="BD114" s="917">
        <v>2</v>
      </c>
      <c r="BE114" s="917">
        <v>2</v>
      </c>
      <c r="BF114" s="917">
        <v>2</v>
      </c>
      <c r="BG114" s="917">
        <v>2</v>
      </c>
      <c r="BH114" s="917"/>
      <c r="BI114" s="917"/>
      <c r="BJ114" s="917">
        <v>2</v>
      </c>
      <c r="BK114" s="917">
        <v>2</v>
      </c>
      <c r="BL114" s="827"/>
      <c r="BM114" s="827"/>
      <c r="BN114" s="827"/>
      <c r="BO114" s="917"/>
      <c r="BP114" s="333">
        <f t="shared" si="8"/>
        <v>2</v>
      </c>
      <c r="BQ114" s="3"/>
    </row>
    <row r="115" spans="2:69" ht="15" customHeight="1">
      <c r="B115" s="2020"/>
      <c r="C115" s="2020"/>
      <c r="D115" s="2020"/>
      <c r="E115" s="2020"/>
      <c r="F115" s="1979"/>
      <c r="G115" s="2014" t="str">
        <f t="shared" si="4"/>
        <v/>
      </c>
      <c r="H115" s="2014"/>
      <c r="I115" s="2014"/>
      <c r="J115" s="2014"/>
      <c r="K115" s="2014"/>
      <c r="L115" s="2014"/>
      <c r="M115" s="2014"/>
      <c r="N115" s="2014"/>
      <c r="O115" s="2014"/>
      <c r="P115" s="2014"/>
      <c r="Q115" s="2014"/>
      <c r="R115" s="2014"/>
      <c r="S115" s="2014"/>
      <c r="T115" s="2021"/>
      <c r="U115" s="2022"/>
      <c r="V115" s="2022"/>
      <c r="W115" s="2023"/>
      <c r="X115" s="2034"/>
      <c r="Y115" s="2035"/>
      <c r="Z115" s="2036"/>
      <c r="AA115" s="2019" t="str">
        <f t="shared" si="7"/>
        <v/>
      </c>
      <c r="AB115" s="2019"/>
      <c r="AC115" s="2019"/>
      <c r="AD115" s="1974"/>
      <c r="AE115" s="1974"/>
      <c r="AF115" s="1975"/>
      <c r="AG115" s="3"/>
      <c r="AH115" s="3"/>
      <c r="AI115" s="3"/>
      <c r="AJ115" s="7"/>
      <c r="AK115" s="827"/>
      <c r="AL115" s="827"/>
      <c r="AM115" s="917"/>
      <c r="AN115" s="827"/>
      <c r="AO115" s="917"/>
      <c r="AP115" s="917"/>
      <c r="AQ115" s="827"/>
      <c r="AR115" s="827"/>
      <c r="AS115" s="827"/>
      <c r="AT115" s="917"/>
      <c r="AU115" s="827"/>
      <c r="AV115" s="917"/>
      <c r="AW115" s="917"/>
      <c r="AX115" s="827"/>
      <c r="AY115" s="827"/>
      <c r="AZ115" s="827"/>
      <c r="BA115" s="917"/>
      <c r="BB115" s="827"/>
      <c r="BC115" s="917"/>
      <c r="BD115" s="917"/>
      <c r="BE115" s="827"/>
      <c r="BF115" s="827"/>
      <c r="BG115" s="827"/>
      <c r="BH115" s="917"/>
      <c r="BI115" s="827"/>
      <c r="BJ115" s="917"/>
      <c r="BK115" s="917"/>
      <c r="BL115" s="827"/>
      <c r="BM115" s="827"/>
      <c r="BN115" s="827"/>
      <c r="BO115" s="917"/>
      <c r="BP115" s="333" t="str">
        <f t="shared" si="8"/>
        <v/>
      </c>
      <c r="BQ115" s="3"/>
    </row>
    <row r="116" spans="2:69" ht="15" customHeight="1">
      <c r="B116" s="2020"/>
      <c r="C116" s="2020"/>
      <c r="D116" s="2020"/>
      <c r="E116" s="2020"/>
      <c r="F116" s="1979"/>
      <c r="G116" s="2014" t="str">
        <f t="shared" si="4"/>
        <v/>
      </c>
      <c r="H116" s="2014"/>
      <c r="I116" s="2014"/>
      <c r="J116" s="2014"/>
      <c r="K116" s="2014"/>
      <c r="L116" s="2014"/>
      <c r="M116" s="2014"/>
      <c r="N116" s="2014"/>
      <c r="O116" s="2014"/>
      <c r="P116" s="2014"/>
      <c r="Q116" s="2014"/>
      <c r="R116" s="2014"/>
      <c r="S116" s="2014"/>
      <c r="T116" s="2021"/>
      <c r="U116" s="2022"/>
      <c r="V116" s="2022"/>
      <c r="W116" s="2023"/>
      <c r="X116" s="2034"/>
      <c r="Y116" s="2035"/>
      <c r="Z116" s="2036"/>
      <c r="AA116" s="2019" t="str">
        <f t="shared" si="7"/>
        <v/>
      </c>
      <c r="AB116" s="2019"/>
      <c r="AC116" s="2019"/>
      <c r="AD116" s="1974"/>
      <c r="AE116" s="1974"/>
      <c r="AF116" s="1975"/>
      <c r="AG116" s="3"/>
      <c r="AH116" s="3"/>
      <c r="AI116" s="3"/>
      <c r="AJ116" s="7"/>
      <c r="AK116" s="827"/>
      <c r="AL116" s="827"/>
      <c r="AM116" s="917"/>
      <c r="AN116" s="827"/>
      <c r="AO116" s="917"/>
      <c r="AP116" s="917"/>
      <c r="AQ116" s="827"/>
      <c r="AR116" s="827"/>
      <c r="AS116" s="827"/>
      <c r="AT116" s="917"/>
      <c r="AU116" s="827"/>
      <c r="AV116" s="917"/>
      <c r="AW116" s="917"/>
      <c r="AX116" s="827"/>
      <c r="AY116" s="827"/>
      <c r="AZ116" s="827"/>
      <c r="BA116" s="917"/>
      <c r="BB116" s="827"/>
      <c r="BC116" s="917"/>
      <c r="BD116" s="917"/>
      <c r="BE116" s="827"/>
      <c r="BF116" s="827"/>
      <c r="BG116" s="827"/>
      <c r="BH116" s="917"/>
      <c r="BI116" s="827"/>
      <c r="BJ116" s="917"/>
      <c r="BK116" s="917"/>
      <c r="BL116" s="827"/>
      <c r="BM116" s="827"/>
      <c r="BN116" s="827"/>
      <c r="BO116" s="917"/>
      <c r="BP116" s="333" t="str">
        <f t="shared" si="8"/>
        <v/>
      </c>
      <c r="BQ116" s="3"/>
    </row>
    <row r="117" spans="2:69" ht="15" customHeight="1">
      <c r="B117" s="2020"/>
      <c r="C117" s="2020"/>
      <c r="D117" s="2020"/>
      <c r="E117" s="2020"/>
      <c r="F117" s="1979"/>
      <c r="G117" s="2014" t="str">
        <f t="shared" si="4"/>
        <v/>
      </c>
      <c r="H117" s="2014"/>
      <c r="I117" s="2014"/>
      <c r="J117" s="2014"/>
      <c r="K117" s="2014"/>
      <c r="L117" s="2014"/>
      <c r="M117" s="2014"/>
      <c r="N117" s="2014"/>
      <c r="O117" s="2014"/>
      <c r="P117" s="2014"/>
      <c r="Q117" s="2014"/>
      <c r="R117" s="2014"/>
      <c r="S117" s="2014"/>
      <c r="T117" s="2021"/>
      <c r="U117" s="2022"/>
      <c r="V117" s="2022"/>
      <c r="W117" s="2023"/>
      <c r="X117" s="2034"/>
      <c r="Y117" s="2035"/>
      <c r="Z117" s="2036"/>
      <c r="AA117" s="2019" t="str">
        <f t="shared" ref="AA117" si="12">BP117</f>
        <v/>
      </c>
      <c r="AB117" s="2019"/>
      <c r="AC117" s="2019"/>
      <c r="AD117" s="1974"/>
      <c r="AE117" s="1974"/>
      <c r="AF117" s="1975"/>
      <c r="AG117" s="3"/>
      <c r="AH117" s="3"/>
      <c r="AI117" s="3"/>
      <c r="AJ117" s="353"/>
      <c r="AK117" s="827"/>
      <c r="AL117" s="827"/>
      <c r="AM117" s="917"/>
      <c r="AN117" s="827"/>
      <c r="AO117" s="917"/>
      <c r="AP117" s="917"/>
      <c r="AQ117" s="827"/>
      <c r="AR117" s="827"/>
      <c r="AS117" s="827"/>
      <c r="AT117" s="917"/>
      <c r="AU117" s="827"/>
      <c r="AV117" s="917"/>
      <c r="AW117" s="917"/>
      <c r="AX117" s="827"/>
      <c r="AY117" s="827"/>
      <c r="AZ117" s="827"/>
      <c r="BA117" s="917"/>
      <c r="BB117" s="827"/>
      <c r="BC117" s="917"/>
      <c r="BD117" s="917"/>
      <c r="BE117" s="827"/>
      <c r="BF117" s="827"/>
      <c r="BG117" s="827"/>
      <c r="BH117" s="917"/>
      <c r="BI117" s="827"/>
      <c r="BJ117" s="917"/>
      <c r="BK117" s="917"/>
      <c r="BL117" s="827"/>
      <c r="BM117" s="827"/>
      <c r="BN117" s="827"/>
      <c r="BO117" s="917"/>
      <c r="BP117" s="333" t="str">
        <f t="shared" si="8"/>
        <v/>
      </c>
      <c r="BQ117" s="3"/>
    </row>
    <row r="118" spans="2:69" ht="15" customHeight="1">
      <c r="B118" s="2020"/>
      <c r="C118" s="2020"/>
      <c r="D118" s="2020"/>
      <c r="E118" s="2020"/>
      <c r="F118" s="1979"/>
      <c r="G118" s="2014" t="str">
        <f t="shared" si="4"/>
        <v/>
      </c>
      <c r="H118" s="2014"/>
      <c r="I118" s="2014"/>
      <c r="J118" s="2014"/>
      <c r="K118" s="2014"/>
      <c r="L118" s="2014"/>
      <c r="M118" s="2014"/>
      <c r="N118" s="2014"/>
      <c r="O118" s="2014"/>
      <c r="P118" s="2014"/>
      <c r="Q118" s="2014"/>
      <c r="R118" s="2014"/>
      <c r="S118" s="2014"/>
      <c r="T118" s="2021"/>
      <c r="U118" s="2022"/>
      <c r="V118" s="2022"/>
      <c r="W118" s="2023"/>
      <c r="X118" s="2034"/>
      <c r="Y118" s="2035"/>
      <c r="Z118" s="2036"/>
      <c r="AA118" s="2194" t="str">
        <f>BP118</f>
        <v/>
      </c>
      <c r="AB118" s="2194"/>
      <c r="AC118" s="2194"/>
      <c r="AD118" s="1974"/>
      <c r="AE118" s="1974"/>
      <c r="AF118" s="1975"/>
      <c r="AG118" s="3"/>
      <c r="AH118" s="3"/>
      <c r="AI118" s="3"/>
      <c r="AJ118" s="7"/>
      <c r="AK118" s="827"/>
      <c r="AL118" s="827"/>
      <c r="AM118" s="917"/>
      <c r="AN118" s="827"/>
      <c r="AO118" s="917"/>
      <c r="AP118" s="917"/>
      <c r="AQ118" s="827"/>
      <c r="AR118" s="827"/>
      <c r="AS118" s="827"/>
      <c r="AT118" s="917"/>
      <c r="AU118" s="827"/>
      <c r="AV118" s="917"/>
      <c r="AW118" s="917"/>
      <c r="AX118" s="827"/>
      <c r="AY118" s="827"/>
      <c r="AZ118" s="827"/>
      <c r="BA118" s="917"/>
      <c r="BB118" s="827"/>
      <c r="BC118" s="917"/>
      <c r="BD118" s="917"/>
      <c r="BE118" s="827"/>
      <c r="BF118" s="827"/>
      <c r="BG118" s="827"/>
      <c r="BH118" s="917"/>
      <c r="BI118" s="827"/>
      <c r="BJ118" s="917"/>
      <c r="BK118" s="917"/>
      <c r="BL118" s="827"/>
      <c r="BM118" s="827"/>
      <c r="BN118" s="827"/>
      <c r="BO118" s="917"/>
      <c r="BP118" s="333" t="str">
        <f t="shared" si="8"/>
        <v/>
      </c>
      <c r="BQ118" s="3"/>
    </row>
    <row r="119" spans="2:69" ht="15" customHeight="1">
      <c r="B119" s="1979"/>
      <c r="C119" s="1987"/>
      <c r="D119" s="1987"/>
      <c r="E119" s="1987"/>
      <c r="F119" s="1987"/>
      <c r="G119" s="2037"/>
      <c r="H119" s="2038"/>
      <c r="I119" s="2038"/>
      <c r="J119" s="2038"/>
      <c r="K119" s="2038"/>
      <c r="L119" s="2038"/>
      <c r="M119" s="2038"/>
      <c r="N119" s="2038"/>
      <c r="O119" s="2038"/>
      <c r="P119" s="2038"/>
      <c r="Q119" s="2038"/>
      <c r="R119" s="2038"/>
      <c r="S119" s="2039"/>
      <c r="T119" s="2148"/>
      <c r="U119" s="2149"/>
      <c r="V119" s="2149"/>
      <c r="W119" s="2150"/>
      <c r="X119" s="2034"/>
      <c r="Y119" s="2035"/>
      <c r="Z119" s="2036"/>
      <c r="AA119" s="2151"/>
      <c r="AB119" s="2151"/>
      <c r="AC119" s="2151"/>
      <c r="AD119" s="1974"/>
      <c r="AE119" s="1974"/>
      <c r="AF119" s="1975"/>
      <c r="AG119" s="3"/>
      <c r="AH119" s="3"/>
      <c r="AI119" s="3"/>
      <c r="AJ119" s="353"/>
      <c r="AK119" s="827"/>
      <c r="AL119" s="827"/>
      <c r="AM119" s="917"/>
      <c r="AN119" s="827"/>
      <c r="AO119" s="917"/>
      <c r="AP119" s="917"/>
      <c r="AQ119" s="827"/>
      <c r="AR119" s="827"/>
      <c r="AS119" s="827"/>
      <c r="AT119" s="917"/>
      <c r="AU119" s="827"/>
      <c r="AV119" s="917"/>
      <c r="AW119" s="917"/>
      <c r="AX119" s="827"/>
      <c r="AY119" s="827"/>
      <c r="AZ119" s="827"/>
      <c r="BA119" s="917"/>
      <c r="BB119" s="827"/>
      <c r="BC119" s="917"/>
      <c r="BD119" s="917"/>
      <c r="BE119" s="827"/>
      <c r="BF119" s="827"/>
      <c r="BG119" s="827"/>
      <c r="BH119" s="917"/>
      <c r="BI119" s="827"/>
      <c r="BJ119" s="917"/>
      <c r="BK119" s="917"/>
      <c r="BL119" s="827"/>
      <c r="BM119" s="827"/>
      <c r="BN119" s="827"/>
      <c r="BO119" s="917"/>
      <c r="BP119" s="333" t="str">
        <f t="shared" si="8"/>
        <v/>
      </c>
      <c r="BQ119" s="3"/>
    </row>
    <row r="120" spans="2:69" ht="15" customHeight="1">
      <c r="B120" s="2020"/>
      <c r="C120" s="2020"/>
      <c r="D120" s="2020"/>
      <c r="E120" s="2020"/>
      <c r="F120" s="1979"/>
      <c r="G120" s="2037"/>
      <c r="H120" s="2038"/>
      <c r="I120" s="2038"/>
      <c r="J120" s="2038"/>
      <c r="K120" s="2038"/>
      <c r="L120" s="2038"/>
      <c r="M120" s="2038"/>
      <c r="N120" s="2038"/>
      <c r="O120" s="2038"/>
      <c r="P120" s="2038"/>
      <c r="Q120" s="2038"/>
      <c r="R120" s="2038"/>
      <c r="S120" s="2039"/>
      <c r="T120" s="2148"/>
      <c r="U120" s="2149"/>
      <c r="V120" s="2149"/>
      <c r="W120" s="2150"/>
      <c r="X120" s="2034"/>
      <c r="Y120" s="2035"/>
      <c r="Z120" s="2036"/>
      <c r="AA120" s="2151"/>
      <c r="AB120" s="2151"/>
      <c r="AC120" s="2151"/>
      <c r="AD120" s="1974"/>
      <c r="AE120" s="1974"/>
      <c r="AF120" s="1975"/>
      <c r="AG120" s="3"/>
      <c r="AH120" s="3"/>
      <c r="AI120" s="3"/>
      <c r="AJ120" s="353"/>
      <c r="AK120" s="827"/>
      <c r="AL120" s="827"/>
      <c r="AM120" s="917"/>
      <c r="AN120" s="827"/>
      <c r="AO120" s="917"/>
      <c r="AP120" s="917"/>
      <c r="AQ120" s="827"/>
      <c r="AR120" s="827"/>
      <c r="AS120" s="827"/>
      <c r="AT120" s="917"/>
      <c r="AU120" s="827"/>
      <c r="AV120" s="917"/>
      <c r="AW120" s="917"/>
      <c r="AX120" s="827"/>
      <c r="AY120" s="827"/>
      <c r="AZ120" s="827"/>
      <c r="BA120" s="917"/>
      <c r="BB120" s="827"/>
      <c r="BC120" s="917"/>
      <c r="BD120" s="917"/>
      <c r="BE120" s="827"/>
      <c r="BF120" s="827"/>
      <c r="BG120" s="827"/>
      <c r="BH120" s="917"/>
      <c r="BI120" s="827"/>
      <c r="BJ120" s="917"/>
      <c r="BK120" s="917"/>
      <c r="BL120" s="827"/>
      <c r="BM120" s="827"/>
      <c r="BN120" s="827"/>
      <c r="BO120" s="917"/>
      <c r="BP120" s="333" t="str">
        <f t="shared" si="8"/>
        <v/>
      </c>
      <c r="BQ120" s="3"/>
    </row>
    <row r="121" spans="2:69" ht="15" customHeight="1">
      <c r="B121" s="1979"/>
      <c r="C121" s="1987"/>
      <c r="D121" s="1987"/>
      <c r="E121" s="1987"/>
      <c r="F121" s="1987"/>
      <c r="G121" s="1988"/>
      <c r="H121" s="1988"/>
      <c r="I121" s="1988"/>
      <c r="J121" s="1988"/>
      <c r="K121" s="1988"/>
      <c r="L121" s="1988"/>
      <c r="M121" s="1988"/>
      <c r="N121" s="1988"/>
      <c r="O121" s="1988"/>
      <c r="P121" s="1988"/>
      <c r="Q121" s="1988"/>
      <c r="R121" s="1988"/>
      <c r="S121" s="1988"/>
      <c r="T121" s="2148"/>
      <c r="U121" s="2149"/>
      <c r="V121" s="2149"/>
      <c r="W121" s="2150"/>
      <c r="X121" s="2034"/>
      <c r="Y121" s="2035"/>
      <c r="Z121" s="2036"/>
      <c r="AA121" s="2151"/>
      <c r="AB121" s="2151"/>
      <c r="AC121" s="2151"/>
      <c r="AD121" s="1974"/>
      <c r="AE121" s="1974"/>
      <c r="AF121" s="1975"/>
      <c r="AG121" s="3"/>
      <c r="AH121" s="3"/>
      <c r="AI121" s="3"/>
      <c r="AJ121" s="7"/>
      <c r="AK121" s="827"/>
      <c r="AL121" s="827"/>
      <c r="AM121" s="917"/>
      <c r="AN121" s="827"/>
      <c r="AO121" s="917"/>
      <c r="AP121" s="917"/>
      <c r="AQ121" s="827"/>
      <c r="AR121" s="827"/>
      <c r="AS121" s="827"/>
      <c r="AT121" s="917"/>
      <c r="AU121" s="827"/>
      <c r="AV121" s="917"/>
      <c r="AW121" s="917"/>
      <c r="AX121" s="827"/>
      <c r="AY121" s="827"/>
      <c r="AZ121" s="827"/>
      <c r="BA121" s="917"/>
      <c r="BB121" s="827"/>
      <c r="BC121" s="917"/>
      <c r="BD121" s="917"/>
      <c r="BE121" s="827"/>
      <c r="BF121" s="827"/>
      <c r="BG121" s="827"/>
      <c r="BH121" s="917"/>
      <c r="BI121" s="827"/>
      <c r="BJ121" s="917"/>
      <c r="BK121" s="917"/>
      <c r="BL121" s="827"/>
      <c r="BM121" s="827"/>
      <c r="BN121" s="827"/>
      <c r="BO121" s="917"/>
      <c r="BP121" s="333" t="str">
        <f t="shared" si="8"/>
        <v/>
      </c>
      <c r="BQ121" s="3"/>
    </row>
    <row r="122" spans="2:69" ht="15" customHeight="1">
      <c r="B122" s="1979"/>
      <c r="C122" s="1987"/>
      <c r="D122" s="1987"/>
      <c r="E122" s="1987"/>
      <c r="F122" s="1987"/>
      <c r="G122" s="1988"/>
      <c r="H122" s="1988"/>
      <c r="I122" s="1988"/>
      <c r="J122" s="1988"/>
      <c r="K122" s="1988"/>
      <c r="L122" s="1988"/>
      <c r="M122" s="1988"/>
      <c r="N122" s="1988"/>
      <c r="O122" s="1988"/>
      <c r="P122" s="1988"/>
      <c r="Q122" s="1988"/>
      <c r="R122" s="1988"/>
      <c r="S122" s="1988"/>
      <c r="T122" s="2148"/>
      <c r="U122" s="2149"/>
      <c r="V122" s="2149"/>
      <c r="W122" s="2150"/>
      <c r="X122" s="2034"/>
      <c r="Y122" s="2035"/>
      <c r="Z122" s="2036"/>
      <c r="AA122" s="2151"/>
      <c r="AB122" s="2151"/>
      <c r="AC122" s="2151"/>
      <c r="AD122" s="1974"/>
      <c r="AE122" s="1974"/>
      <c r="AF122" s="1975"/>
      <c r="AG122" s="3"/>
      <c r="AH122" s="3"/>
      <c r="AI122" s="3"/>
      <c r="AJ122" s="7"/>
      <c r="AK122" s="827"/>
      <c r="AL122" s="827"/>
      <c r="AM122" s="917"/>
      <c r="AN122" s="827"/>
      <c r="AO122" s="917"/>
      <c r="AP122" s="917"/>
      <c r="AQ122" s="827"/>
      <c r="AR122" s="827"/>
      <c r="AS122" s="827"/>
      <c r="AT122" s="917"/>
      <c r="AU122" s="827"/>
      <c r="AV122" s="917"/>
      <c r="AW122" s="917"/>
      <c r="AX122" s="827"/>
      <c r="AY122" s="827"/>
      <c r="AZ122" s="827"/>
      <c r="BA122" s="917"/>
      <c r="BB122" s="827"/>
      <c r="BC122" s="917"/>
      <c r="BD122" s="917"/>
      <c r="BE122" s="827"/>
      <c r="BF122" s="827"/>
      <c r="BG122" s="827"/>
      <c r="BH122" s="917"/>
      <c r="BI122" s="827"/>
      <c r="BJ122" s="917"/>
      <c r="BK122" s="917"/>
      <c r="BL122" s="827"/>
      <c r="BM122" s="827"/>
      <c r="BN122" s="827"/>
      <c r="BO122" s="917"/>
      <c r="BP122" s="333" t="str">
        <f t="shared" si="8"/>
        <v/>
      </c>
    </row>
    <row r="123" spans="2:69" ht="15" customHeight="1">
      <c r="B123" s="2020"/>
      <c r="C123" s="2020"/>
      <c r="D123" s="2020"/>
      <c r="E123" s="2020"/>
      <c r="F123" s="1979"/>
      <c r="G123" s="1988"/>
      <c r="H123" s="1988"/>
      <c r="I123" s="1988"/>
      <c r="J123" s="1988"/>
      <c r="K123" s="1988"/>
      <c r="L123" s="1988"/>
      <c r="M123" s="1988"/>
      <c r="N123" s="1988"/>
      <c r="O123" s="1988"/>
      <c r="P123" s="1988"/>
      <c r="Q123" s="1988"/>
      <c r="R123" s="1988"/>
      <c r="S123" s="1988"/>
      <c r="T123" s="2148"/>
      <c r="U123" s="2149"/>
      <c r="V123" s="2149"/>
      <c r="W123" s="2150"/>
      <c r="X123" s="2034"/>
      <c r="Y123" s="2035"/>
      <c r="Z123" s="2036"/>
      <c r="AA123" s="2151"/>
      <c r="AB123" s="2151"/>
      <c r="AC123" s="2151"/>
      <c r="AD123" s="1974"/>
      <c r="AE123" s="1974"/>
      <c r="AF123" s="1975"/>
      <c r="AG123" s="3"/>
      <c r="AH123" s="3"/>
      <c r="AI123" s="3"/>
      <c r="AJ123" s="7"/>
      <c r="AK123" s="1513"/>
      <c r="AL123" s="1513"/>
      <c r="AM123" s="1514"/>
      <c r="AN123" s="1513"/>
      <c r="AO123" s="1514"/>
      <c r="AP123" s="1514"/>
      <c r="AQ123" s="1513"/>
      <c r="AR123" s="1513"/>
      <c r="AS123" s="1513"/>
      <c r="AT123" s="1514"/>
      <c r="AU123" s="1513"/>
      <c r="AV123" s="1514"/>
      <c r="AW123" s="1514"/>
      <c r="AX123" s="1513"/>
      <c r="AY123" s="1513"/>
      <c r="AZ123" s="1513"/>
      <c r="BA123" s="1514"/>
      <c r="BB123" s="1513"/>
      <c r="BC123" s="1514"/>
      <c r="BD123" s="1514"/>
      <c r="BE123" s="1513"/>
      <c r="BF123" s="1513"/>
      <c r="BG123" s="1513"/>
      <c r="BH123" s="1514"/>
      <c r="BI123" s="1513"/>
      <c r="BJ123" s="1514"/>
      <c r="BK123" s="1514"/>
      <c r="BL123" s="1513"/>
      <c r="BM123" s="1513"/>
      <c r="BN123" s="1513"/>
      <c r="BO123" s="1514"/>
      <c r="BP123" s="333" t="str">
        <f t="shared" si="8"/>
        <v/>
      </c>
    </row>
    <row r="124" spans="2:69" ht="15" customHeight="1">
      <c r="B124" s="1979"/>
      <c r="C124" s="1987"/>
      <c r="D124" s="1987"/>
      <c r="E124" s="1987"/>
      <c r="F124" s="1987"/>
      <c r="G124" s="1988"/>
      <c r="H124" s="1988"/>
      <c r="I124" s="1988"/>
      <c r="J124" s="1988"/>
      <c r="K124" s="1988"/>
      <c r="L124" s="1988"/>
      <c r="M124" s="1988"/>
      <c r="N124" s="1988"/>
      <c r="O124" s="1988"/>
      <c r="P124" s="1988"/>
      <c r="Q124" s="1988"/>
      <c r="R124" s="1988"/>
      <c r="S124" s="1988"/>
      <c r="T124" s="2148"/>
      <c r="U124" s="2149"/>
      <c r="V124" s="2149"/>
      <c r="W124" s="2150"/>
      <c r="X124" s="2034"/>
      <c r="Y124" s="2035"/>
      <c r="Z124" s="2036"/>
      <c r="AA124" s="2151"/>
      <c r="AB124" s="2151"/>
      <c r="AC124" s="2151"/>
      <c r="AD124" s="1974"/>
      <c r="AE124" s="1974"/>
      <c r="AF124" s="1975"/>
      <c r="AG124" s="3"/>
      <c r="AH124" s="3"/>
      <c r="AI124" s="3"/>
      <c r="AJ124" s="353"/>
      <c r="AK124" s="827"/>
      <c r="AL124" s="827"/>
      <c r="AM124" s="917"/>
      <c r="AN124" s="827"/>
      <c r="AO124" s="917"/>
      <c r="AP124" s="917"/>
      <c r="AQ124" s="827"/>
      <c r="AR124" s="827"/>
      <c r="AS124" s="827"/>
      <c r="AT124" s="917"/>
      <c r="AU124" s="827"/>
      <c r="AV124" s="917"/>
      <c r="AW124" s="917"/>
      <c r="AX124" s="827"/>
      <c r="AY124" s="827"/>
      <c r="AZ124" s="827"/>
      <c r="BA124" s="917"/>
      <c r="BB124" s="827"/>
      <c r="BC124" s="917"/>
      <c r="BD124" s="917"/>
      <c r="BE124" s="827"/>
      <c r="BF124" s="827"/>
      <c r="BG124" s="827"/>
      <c r="BH124" s="917"/>
      <c r="BI124" s="827"/>
      <c r="BJ124" s="917"/>
      <c r="BK124" s="917"/>
      <c r="BL124" s="827"/>
      <c r="BM124" s="827"/>
      <c r="BN124" s="827"/>
      <c r="BO124" s="917"/>
      <c r="BP124" s="333" t="str">
        <f t="shared" si="8"/>
        <v/>
      </c>
    </row>
    <row r="125" spans="2:69" ht="15" customHeight="1">
      <c r="B125" s="560"/>
      <c r="C125" s="560"/>
      <c r="D125" s="560"/>
      <c r="E125" s="560"/>
      <c r="F125" s="560"/>
      <c r="G125" s="561"/>
      <c r="H125" s="561"/>
      <c r="I125" s="561"/>
      <c r="J125" s="561"/>
      <c r="K125" s="561"/>
      <c r="L125" s="561"/>
      <c r="M125" s="561"/>
      <c r="N125" s="561"/>
      <c r="O125" s="561"/>
      <c r="P125" s="561"/>
      <c r="Q125" s="561"/>
      <c r="R125" s="561"/>
      <c r="S125" s="561"/>
      <c r="T125" s="559"/>
      <c r="U125" s="559"/>
      <c r="V125" s="559"/>
      <c r="W125" s="559"/>
      <c r="X125" s="562"/>
      <c r="Y125" s="562"/>
      <c r="Z125" s="562"/>
      <c r="AA125" s="563"/>
      <c r="AB125" s="563"/>
      <c r="AC125" s="563"/>
      <c r="AD125" s="351"/>
      <c r="AE125" s="351"/>
      <c r="AF125" s="351"/>
      <c r="AG125" s="3"/>
      <c r="AH125" s="3"/>
      <c r="AI125" s="3"/>
      <c r="AJ125" s="353"/>
      <c r="AK125" s="1515"/>
      <c r="AL125" s="1515"/>
      <c r="AM125" s="1514"/>
      <c r="AN125" s="1515"/>
      <c r="AO125" s="1514"/>
      <c r="AP125" s="1514"/>
      <c r="AQ125" s="1515"/>
      <c r="AR125" s="1515"/>
      <c r="AS125" s="1515"/>
      <c r="AT125" s="1514"/>
      <c r="AU125" s="1515"/>
      <c r="AV125" s="1514"/>
      <c r="AW125" s="1514"/>
      <c r="AX125" s="1515"/>
      <c r="AY125" s="1515"/>
      <c r="AZ125" s="1515"/>
      <c r="BA125" s="1514"/>
      <c r="BB125" s="1515"/>
      <c r="BC125" s="1514"/>
      <c r="BD125" s="1514"/>
      <c r="BE125" s="1515"/>
      <c r="BF125" s="1515"/>
      <c r="BG125" s="1515"/>
      <c r="BH125" s="1514"/>
      <c r="BI125" s="1515"/>
      <c r="BJ125" s="1514"/>
      <c r="BK125" s="1514"/>
      <c r="BL125" s="1515"/>
      <c r="BM125" s="1515"/>
      <c r="BN125" s="1515"/>
      <c r="BO125" s="1514"/>
      <c r="BP125" s="333" t="str">
        <f t="shared" si="8"/>
        <v/>
      </c>
    </row>
    <row r="126" spans="2:69" ht="15" customHeight="1">
      <c r="B126" s="560"/>
      <c r="C126" s="560"/>
      <c r="D126" s="560"/>
      <c r="E126" s="560"/>
      <c r="F126" s="560"/>
      <c r="G126" s="561"/>
      <c r="H126" s="561"/>
      <c r="I126" s="561"/>
      <c r="J126" s="561"/>
      <c r="K126" s="561"/>
      <c r="L126" s="561"/>
      <c r="M126" s="561"/>
      <c r="N126" s="561"/>
      <c r="O126" s="561"/>
      <c r="P126" s="561"/>
      <c r="Q126" s="561"/>
      <c r="R126" s="561"/>
      <c r="S126" s="561"/>
      <c r="T126" s="559"/>
      <c r="U126" s="559"/>
      <c r="V126" s="559"/>
      <c r="W126" s="559"/>
      <c r="X126" s="562"/>
      <c r="Y126" s="562"/>
      <c r="Z126" s="562"/>
      <c r="AA126" s="563"/>
      <c r="AB126" s="563"/>
      <c r="AC126" s="563"/>
      <c r="AD126" s="351"/>
      <c r="AE126" s="351"/>
      <c r="AF126" s="351"/>
      <c r="AG126" s="3"/>
      <c r="AH126" s="3"/>
      <c r="AI126" s="3"/>
      <c r="AJ126" s="353"/>
      <c r="AK126" s="1515"/>
      <c r="AL126" s="1515"/>
      <c r="AM126" s="1514"/>
      <c r="AN126" s="1515"/>
      <c r="AO126" s="1514"/>
      <c r="AP126" s="1514"/>
      <c r="AQ126" s="1515"/>
      <c r="AR126" s="1515"/>
      <c r="AS126" s="1515"/>
      <c r="AT126" s="1514"/>
      <c r="AU126" s="1515"/>
      <c r="AV126" s="1514"/>
      <c r="AW126" s="1514"/>
      <c r="AX126" s="1515"/>
      <c r="AY126" s="1515"/>
      <c r="AZ126" s="1515"/>
      <c r="BA126" s="1514"/>
      <c r="BB126" s="1515"/>
      <c r="BC126" s="1514"/>
      <c r="BD126" s="1514"/>
      <c r="BE126" s="1515"/>
      <c r="BF126" s="1515"/>
      <c r="BG126" s="1515"/>
      <c r="BH126" s="1514"/>
      <c r="BI126" s="1515"/>
      <c r="BJ126" s="1514"/>
      <c r="BK126" s="1514"/>
      <c r="BL126" s="1515"/>
      <c r="BM126" s="1515"/>
      <c r="BN126" s="1515"/>
      <c r="BO126" s="1514"/>
      <c r="BP126" s="333" t="str">
        <f t="shared" si="8"/>
        <v/>
      </c>
    </row>
    <row r="127" spans="2:69" ht="15" customHeight="1">
      <c r="B127" s="560"/>
      <c r="C127" s="560"/>
      <c r="D127" s="560"/>
      <c r="E127" s="560"/>
      <c r="F127" s="560"/>
      <c r="G127" s="561"/>
      <c r="H127" s="561"/>
      <c r="I127" s="561"/>
      <c r="J127" s="561"/>
      <c r="K127" s="561"/>
      <c r="L127" s="561"/>
      <c r="M127" s="561"/>
      <c r="N127" s="561"/>
      <c r="O127" s="561"/>
      <c r="P127" s="561"/>
      <c r="Q127" s="561"/>
      <c r="R127" s="561"/>
      <c r="S127" s="561"/>
      <c r="T127" s="559"/>
      <c r="U127" s="559"/>
      <c r="V127" s="559"/>
      <c r="W127" s="559"/>
      <c r="X127" s="562"/>
      <c r="Y127" s="562"/>
      <c r="Z127" s="562"/>
      <c r="AA127" s="563"/>
      <c r="AB127" s="563"/>
      <c r="AC127" s="563"/>
      <c r="AD127" s="351"/>
      <c r="AE127" s="351"/>
      <c r="AF127" s="351"/>
      <c r="AG127" s="3"/>
      <c r="AH127" s="3"/>
      <c r="AI127" s="3"/>
      <c r="AJ127" s="353"/>
      <c r="AK127" s="1515"/>
      <c r="AL127" s="1515"/>
      <c r="AM127" s="1514"/>
      <c r="AN127" s="1515"/>
      <c r="AO127" s="1514"/>
      <c r="AP127" s="1514"/>
      <c r="AQ127" s="1515"/>
      <c r="AR127" s="1515"/>
      <c r="AS127" s="1515"/>
      <c r="AT127" s="1514"/>
      <c r="AU127" s="1515"/>
      <c r="AV127" s="1514"/>
      <c r="AW127" s="1514"/>
      <c r="AX127" s="1515"/>
      <c r="AY127" s="1515"/>
      <c r="AZ127" s="1515"/>
      <c r="BA127" s="1514"/>
      <c r="BB127" s="1515"/>
      <c r="BC127" s="1514"/>
      <c r="BD127" s="1514"/>
      <c r="BE127" s="1515"/>
      <c r="BF127" s="1515"/>
      <c r="BG127" s="1515"/>
      <c r="BH127" s="1514"/>
      <c r="BI127" s="1515"/>
      <c r="BJ127" s="1514"/>
      <c r="BK127" s="1514"/>
      <c r="BL127" s="1515"/>
      <c r="BM127" s="1515"/>
      <c r="BN127" s="1515"/>
      <c r="BO127" s="1514"/>
      <c r="BP127" s="333" t="str">
        <f t="shared" si="8"/>
        <v/>
      </c>
    </row>
    <row r="128" spans="2:69" ht="15" customHeight="1">
      <c r="B128" s="560"/>
      <c r="C128" s="560"/>
      <c r="D128" s="560"/>
      <c r="E128" s="560"/>
      <c r="F128" s="560"/>
      <c r="G128" s="561"/>
      <c r="H128" s="561"/>
      <c r="I128" s="561"/>
      <c r="J128" s="561"/>
      <c r="K128" s="561"/>
      <c r="L128" s="561"/>
      <c r="M128" s="561"/>
      <c r="N128" s="561"/>
      <c r="O128" s="561"/>
      <c r="P128" s="561"/>
      <c r="Q128" s="561"/>
      <c r="R128" s="561"/>
      <c r="S128" s="561"/>
      <c r="T128" s="559"/>
      <c r="U128" s="559"/>
      <c r="V128" s="559"/>
      <c r="W128" s="559"/>
      <c r="X128" s="562"/>
      <c r="Y128" s="562"/>
      <c r="Z128" s="562"/>
      <c r="AA128" s="563"/>
      <c r="AB128" s="563"/>
      <c r="AC128" s="563"/>
      <c r="AD128" s="351"/>
      <c r="AE128" s="351"/>
      <c r="AF128" s="351"/>
      <c r="AG128" s="3"/>
      <c r="AH128" s="3"/>
      <c r="AI128" s="3"/>
      <c r="AJ128" s="353"/>
      <c r="AK128" s="1515"/>
      <c r="AL128" s="1515"/>
      <c r="AM128" s="1514"/>
      <c r="AN128" s="1515"/>
      <c r="AO128" s="1514"/>
      <c r="AP128" s="1514"/>
      <c r="AQ128" s="1515"/>
      <c r="AR128" s="1515"/>
      <c r="AS128" s="1515"/>
      <c r="AT128" s="1514"/>
      <c r="AU128" s="1515"/>
      <c r="AV128" s="1514"/>
      <c r="AW128" s="1514"/>
      <c r="AX128" s="1515"/>
      <c r="AY128" s="1515"/>
      <c r="AZ128" s="1515"/>
      <c r="BA128" s="1514"/>
      <c r="BB128" s="1515"/>
      <c r="BC128" s="1514"/>
      <c r="BD128" s="1514"/>
      <c r="BE128" s="1515"/>
      <c r="BF128" s="1515"/>
      <c r="BG128" s="1515"/>
      <c r="BH128" s="1514"/>
      <c r="BI128" s="1515"/>
      <c r="BJ128" s="1514"/>
      <c r="BK128" s="1514"/>
      <c r="BL128" s="1515"/>
      <c r="BM128" s="1515"/>
      <c r="BN128" s="1515"/>
      <c r="BO128" s="1514"/>
      <c r="BP128" s="333" t="str">
        <f t="shared" si="8"/>
        <v/>
      </c>
    </row>
    <row r="129" spans="2:68" ht="15" customHeight="1">
      <c r="B129" s="560"/>
      <c r="C129" s="560"/>
      <c r="D129" s="560"/>
      <c r="E129" s="560"/>
      <c r="F129" s="560"/>
      <c r="G129" s="561"/>
      <c r="H129" s="561"/>
      <c r="I129" s="561"/>
      <c r="J129" s="561"/>
      <c r="K129" s="561"/>
      <c r="L129" s="561"/>
      <c r="M129" s="561"/>
      <c r="N129" s="561"/>
      <c r="O129" s="561"/>
      <c r="P129" s="561"/>
      <c r="Q129" s="561"/>
      <c r="R129" s="561"/>
      <c r="S129" s="561"/>
      <c r="T129" s="559"/>
      <c r="U129" s="559"/>
      <c r="V129" s="559"/>
      <c r="W129" s="559"/>
      <c r="X129" s="562"/>
      <c r="Y129" s="562"/>
      <c r="Z129" s="562"/>
      <c r="AA129" s="563"/>
      <c r="AB129" s="563"/>
      <c r="AC129" s="563"/>
      <c r="AD129" s="351"/>
      <c r="AE129" s="351"/>
      <c r="AF129" s="351"/>
      <c r="AG129" s="3"/>
      <c r="AH129" s="3"/>
      <c r="AI129" s="3"/>
      <c r="AJ129" s="353"/>
      <c r="AK129" s="1515"/>
      <c r="AL129" s="1515"/>
      <c r="AM129" s="1514"/>
      <c r="AN129" s="1515"/>
      <c r="AO129" s="1514"/>
      <c r="AP129" s="1514"/>
      <c r="AQ129" s="1515"/>
      <c r="AR129" s="1515"/>
      <c r="AS129" s="1515"/>
      <c r="AT129" s="1514"/>
      <c r="AU129" s="1515"/>
      <c r="AV129" s="1514"/>
      <c r="AW129" s="1514"/>
      <c r="AX129" s="1515"/>
      <c r="AY129" s="1515"/>
      <c r="AZ129" s="1515"/>
      <c r="BA129" s="1514"/>
      <c r="BB129" s="1515"/>
      <c r="BC129" s="1514"/>
      <c r="BD129" s="1514"/>
      <c r="BE129" s="1515"/>
      <c r="BF129" s="1515"/>
      <c r="BG129" s="1515"/>
      <c r="BH129" s="1514"/>
      <c r="BI129" s="1515"/>
      <c r="BJ129" s="1514"/>
      <c r="BK129" s="1514"/>
      <c r="BL129" s="1515"/>
      <c r="BM129" s="1515"/>
      <c r="BN129" s="1515"/>
      <c r="BO129" s="1514"/>
      <c r="BP129" s="333" t="str">
        <f t="shared" si="8"/>
        <v/>
      </c>
    </row>
    <row r="130" spans="2:68" ht="15" customHeight="1">
      <c r="B130" s="560"/>
      <c r="C130" s="560"/>
      <c r="D130" s="560"/>
      <c r="E130" s="560"/>
      <c r="F130" s="560"/>
      <c r="G130" s="561"/>
      <c r="H130" s="561"/>
      <c r="I130" s="561"/>
      <c r="J130" s="561"/>
      <c r="K130" s="561"/>
      <c r="L130" s="561"/>
      <c r="M130" s="561"/>
      <c r="N130" s="561"/>
      <c r="O130" s="561"/>
      <c r="P130" s="561"/>
      <c r="Q130" s="561"/>
      <c r="R130" s="561"/>
      <c r="S130" s="561"/>
      <c r="T130" s="559"/>
      <c r="U130" s="559"/>
      <c r="V130" s="559"/>
      <c r="W130" s="559"/>
      <c r="X130" s="562"/>
      <c r="Y130" s="562"/>
      <c r="Z130" s="562"/>
      <c r="AA130" s="563"/>
      <c r="AB130" s="563"/>
      <c r="AC130" s="563"/>
      <c r="AD130" s="351"/>
      <c r="AE130" s="351"/>
      <c r="AF130" s="351"/>
      <c r="AG130" s="3"/>
      <c r="AH130" s="3"/>
      <c r="AI130" s="3"/>
      <c r="AJ130" s="353"/>
      <c r="AK130" s="1515"/>
      <c r="AL130" s="1515"/>
      <c r="AM130" s="1514"/>
      <c r="AN130" s="1515"/>
      <c r="AO130" s="1514"/>
      <c r="AP130" s="1514"/>
      <c r="AQ130" s="1515"/>
      <c r="AR130" s="1515"/>
      <c r="AS130" s="1515"/>
      <c r="AT130" s="1514"/>
      <c r="AU130" s="1515"/>
      <c r="AV130" s="1514"/>
      <c r="AW130" s="1514"/>
      <c r="AX130" s="1515"/>
      <c r="AY130" s="1515"/>
      <c r="AZ130" s="1515"/>
      <c r="BA130" s="1514"/>
      <c r="BB130" s="1515"/>
      <c r="BC130" s="1514"/>
      <c r="BD130" s="1514"/>
      <c r="BE130" s="1515"/>
      <c r="BF130" s="1515"/>
      <c r="BG130" s="1515"/>
      <c r="BH130" s="1514"/>
      <c r="BI130" s="1515"/>
      <c r="BJ130" s="1514"/>
      <c r="BK130" s="1514"/>
      <c r="BL130" s="1515"/>
      <c r="BM130" s="1515"/>
      <c r="BN130" s="1515"/>
      <c r="BO130" s="1514"/>
      <c r="BP130" s="333" t="str">
        <f t="shared" si="8"/>
        <v/>
      </c>
    </row>
    <row r="131" spans="2:68" ht="15" customHeight="1">
      <c r="B131" s="560"/>
      <c r="C131" s="560"/>
      <c r="D131" s="560"/>
      <c r="E131" s="560"/>
      <c r="F131" s="560"/>
      <c r="G131" s="561"/>
      <c r="H131" s="561"/>
      <c r="I131" s="561"/>
      <c r="J131" s="561"/>
      <c r="K131" s="561"/>
      <c r="L131" s="561"/>
      <c r="M131" s="561"/>
      <c r="N131" s="561"/>
      <c r="O131" s="561"/>
      <c r="P131" s="561"/>
      <c r="Q131" s="561"/>
      <c r="R131" s="561"/>
      <c r="S131" s="561"/>
      <c r="T131" s="559"/>
      <c r="U131" s="559"/>
      <c r="V131" s="559"/>
      <c r="W131" s="559"/>
      <c r="X131" s="562"/>
      <c r="Y131" s="562"/>
      <c r="Z131" s="562"/>
      <c r="AA131" s="563"/>
      <c r="AB131" s="563"/>
      <c r="AC131" s="563"/>
      <c r="AD131" s="351"/>
      <c r="AE131" s="351"/>
      <c r="AF131" s="351"/>
      <c r="AG131" s="3"/>
      <c r="AH131" s="3"/>
      <c r="AI131" s="3"/>
      <c r="AJ131" s="353"/>
      <c r="AK131" s="1515"/>
      <c r="AL131" s="1515"/>
      <c r="AM131" s="1514"/>
      <c r="AN131" s="1515"/>
      <c r="AO131" s="1514"/>
      <c r="AP131" s="1514"/>
      <c r="AQ131" s="1515"/>
      <c r="AR131" s="1515"/>
      <c r="AS131" s="1515"/>
      <c r="AT131" s="1514"/>
      <c r="AU131" s="1515"/>
      <c r="AV131" s="1514"/>
      <c r="AW131" s="1514"/>
      <c r="AX131" s="1515"/>
      <c r="AY131" s="1515"/>
      <c r="AZ131" s="1515"/>
      <c r="BA131" s="1514"/>
      <c r="BB131" s="1515"/>
      <c r="BC131" s="1514"/>
      <c r="BD131" s="1514"/>
      <c r="BE131" s="1515"/>
      <c r="BF131" s="1515"/>
      <c r="BG131" s="1515"/>
      <c r="BH131" s="1514"/>
      <c r="BI131" s="1515"/>
      <c r="BJ131" s="1514"/>
      <c r="BK131" s="1514"/>
      <c r="BL131" s="1515"/>
      <c r="BM131" s="1515"/>
      <c r="BN131" s="1515"/>
      <c r="BO131" s="1514"/>
      <c r="BP131" s="333" t="str">
        <f t="shared" si="8"/>
        <v/>
      </c>
    </row>
    <row r="132" spans="2:68" ht="15" customHeight="1">
      <c r="B132" s="560"/>
      <c r="C132" s="560"/>
      <c r="D132" s="560"/>
      <c r="E132" s="560"/>
      <c r="F132" s="560"/>
      <c r="G132" s="561"/>
      <c r="H132" s="561"/>
      <c r="I132" s="561"/>
      <c r="J132" s="561"/>
      <c r="K132" s="561"/>
      <c r="L132" s="561"/>
      <c r="M132" s="561"/>
      <c r="N132" s="561"/>
      <c r="O132" s="561"/>
      <c r="P132" s="561"/>
      <c r="Q132" s="561"/>
      <c r="R132" s="561"/>
      <c r="S132" s="561"/>
      <c r="T132" s="559"/>
      <c r="U132" s="559"/>
      <c r="V132" s="559"/>
      <c r="W132" s="559"/>
      <c r="X132" s="562"/>
      <c r="Y132" s="562"/>
      <c r="Z132" s="562"/>
      <c r="AA132" s="563"/>
      <c r="AB132" s="563"/>
      <c r="AC132" s="563"/>
      <c r="AD132" s="351"/>
      <c r="AE132" s="351"/>
      <c r="AF132" s="351"/>
      <c r="AG132" s="3"/>
      <c r="AH132" s="3"/>
      <c r="AI132" s="3"/>
      <c r="AJ132" s="353"/>
      <c r="AK132" s="1515"/>
      <c r="AL132" s="1515"/>
      <c r="AM132" s="1514"/>
      <c r="AN132" s="1515"/>
      <c r="AO132" s="1514"/>
      <c r="AP132" s="1514"/>
      <c r="AQ132" s="1515"/>
      <c r="AR132" s="1515"/>
      <c r="AS132" s="1515"/>
      <c r="AT132" s="1514"/>
      <c r="AU132" s="1515"/>
      <c r="AV132" s="1514"/>
      <c r="AW132" s="1514"/>
      <c r="AX132" s="1515"/>
      <c r="AY132" s="1515"/>
      <c r="AZ132" s="1515"/>
      <c r="BA132" s="1514"/>
      <c r="BB132" s="1515"/>
      <c r="BC132" s="1514"/>
      <c r="BD132" s="1514"/>
      <c r="BE132" s="1515"/>
      <c r="BF132" s="1515"/>
      <c r="BG132" s="1515"/>
      <c r="BH132" s="1514"/>
      <c r="BI132" s="1515"/>
      <c r="BJ132" s="1514"/>
      <c r="BK132" s="1514"/>
      <c r="BL132" s="1515"/>
      <c r="BM132" s="1515"/>
      <c r="BN132" s="1515"/>
      <c r="BO132" s="1514"/>
      <c r="BP132" s="333" t="str">
        <f t="shared" si="8"/>
        <v/>
      </c>
    </row>
    <row r="133" spans="2:68" ht="15" customHeight="1">
      <c r="B133" s="560"/>
      <c r="C133" s="560"/>
      <c r="D133" s="560"/>
      <c r="E133" s="560"/>
      <c r="F133" s="560"/>
      <c r="G133" s="561"/>
      <c r="H133" s="561"/>
      <c r="I133" s="561"/>
      <c r="J133" s="561"/>
      <c r="K133" s="561"/>
      <c r="L133" s="561"/>
      <c r="M133" s="561"/>
      <c r="N133" s="561"/>
      <c r="O133" s="561"/>
      <c r="P133" s="561"/>
      <c r="Q133" s="561"/>
      <c r="R133" s="561"/>
      <c r="S133" s="561"/>
      <c r="T133" s="559"/>
      <c r="U133" s="559"/>
      <c r="V133" s="559"/>
      <c r="W133" s="559"/>
      <c r="X133" s="562"/>
      <c r="Y133" s="562"/>
      <c r="Z133" s="562"/>
      <c r="AA133" s="563"/>
      <c r="AB133" s="563"/>
      <c r="AC133" s="563"/>
      <c r="AD133" s="351"/>
      <c r="AE133" s="351"/>
      <c r="AF133" s="351"/>
      <c r="AG133" s="3"/>
      <c r="AH133" s="3"/>
      <c r="AI133" s="3"/>
      <c r="AJ133" s="1245"/>
      <c r="AK133" s="1514"/>
      <c r="AL133" s="1514"/>
      <c r="AM133" s="1514"/>
      <c r="AN133" s="1514"/>
      <c r="AO133" s="1514"/>
      <c r="AP133" s="1514"/>
      <c r="AQ133" s="1514"/>
      <c r="AR133" s="1514"/>
      <c r="AS133" s="1514"/>
      <c r="AT133" s="1514"/>
      <c r="AU133" s="1514"/>
      <c r="AV133" s="1514"/>
      <c r="AW133" s="1514"/>
      <c r="AX133" s="1514"/>
      <c r="AY133" s="1514"/>
      <c r="AZ133" s="1514"/>
      <c r="BA133" s="1514"/>
      <c r="BB133" s="1514"/>
      <c r="BC133" s="1514"/>
      <c r="BD133" s="1514"/>
      <c r="BE133" s="1514"/>
      <c r="BF133" s="1514"/>
      <c r="BG133" s="1514"/>
      <c r="BH133" s="1514"/>
      <c r="BI133" s="1514"/>
      <c r="BJ133" s="1514"/>
      <c r="BK133" s="1514"/>
      <c r="BL133" s="1514"/>
      <c r="BM133" s="1514"/>
      <c r="BN133" s="1514"/>
      <c r="BO133" s="1514"/>
      <c r="BP133" s="333" t="str">
        <f t="shared" si="8"/>
        <v/>
      </c>
    </row>
    <row r="134" spans="2:68" ht="15.75" customHeight="1">
      <c r="B134" s="560"/>
      <c r="C134" s="560"/>
      <c r="D134" s="560"/>
      <c r="E134" s="560"/>
      <c r="F134" s="560"/>
      <c r="G134" s="561"/>
      <c r="H134" s="561"/>
      <c r="I134" s="561"/>
      <c r="J134" s="561"/>
      <c r="K134" s="561"/>
      <c r="L134" s="561"/>
      <c r="M134" s="561"/>
      <c r="N134" s="561"/>
      <c r="O134" s="561"/>
      <c r="P134" s="561"/>
      <c r="Q134" s="561"/>
      <c r="R134" s="561"/>
      <c r="S134" s="561"/>
      <c r="T134" s="559"/>
      <c r="U134" s="559"/>
      <c r="V134" s="559"/>
      <c r="W134" s="559"/>
      <c r="X134" s="562"/>
      <c r="Y134" s="562"/>
      <c r="Z134" s="562"/>
      <c r="AA134" s="563"/>
      <c r="AB134" s="563"/>
      <c r="AC134" s="563"/>
      <c r="AD134" s="351"/>
      <c r="AE134" s="351"/>
      <c r="AF134" s="351"/>
      <c r="AG134" s="3"/>
      <c r="AH134" s="3"/>
      <c r="AI134" s="3"/>
      <c r="AJ134" s="353"/>
      <c r="AK134" s="1515"/>
      <c r="AL134" s="1515"/>
      <c r="AM134" s="1514"/>
      <c r="AN134" s="1515"/>
      <c r="AO134" s="1514"/>
      <c r="AP134" s="1514"/>
      <c r="AQ134" s="1515"/>
      <c r="AR134" s="1515"/>
      <c r="AS134" s="1515"/>
      <c r="AT134" s="1514"/>
      <c r="AU134" s="1515"/>
      <c r="AV134" s="1514"/>
      <c r="AW134" s="1514"/>
      <c r="AX134" s="1515"/>
      <c r="AY134" s="1515"/>
      <c r="AZ134" s="1515"/>
      <c r="BA134" s="1514"/>
      <c r="BB134" s="1515"/>
      <c r="BC134" s="1514"/>
      <c r="BD134" s="1514"/>
      <c r="BE134" s="1515"/>
      <c r="BF134" s="1515"/>
      <c r="BG134" s="1515"/>
      <c r="BH134" s="1514"/>
      <c r="BI134" s="1515"/>
      <c r="BJ134" s="1514"/>
      <c r="BK134" s="1514"/>
      <c r="BL134" s="1515"/>
      <c r="BM134" s="1515"/>
      <c r="BN134" s="1515"/>
      <c r="BO134" s="1514"/>
      <c r="BP134" s="305"/>
    </row>
    <row r="135" spans="2:68">
      <c r="B135" s="559"/>
      <c r="C135" s="559"/>
      <c r="D135" s="559"/>
      <c r="E135" s="559"/>
      <c r="F135" s="559"/>
      <c r="G135" s="559"/>
      <c r="H135" s="559"/>
      <c r="I135" s="559"/>
      <c r="J135" s="559"/>
      <c r="K135" s="559"/>
      <c r="L135" s="559"/>
      <c r="M135" s="559"/>
      <c r="N135" s="559"/>
      <c r="O135" s="559"/>
      <c r="P135" s="559"/>
      <c r="Q135" s="559"/>
      <c r="R135" s="559"/>
      <c r="S135" s="559"/>
      <c r="T135" s="559"/>
      <c r="U135" s="559"/>
      <c r="V135" s="559"/>
      <c r="W135" s="559"/>
      <c r="X135" s="559"/>
      <c r="Y135" s="559"/>
      <c r="Z135" s="559"/>
      <c r="AA135" s="559"/>
      <c r="AB135" s="559"/>
      <c r="AC135" s="559"/>
      <c r="AD135" s="559"/>
      <c r="AE135" s="559"/>
      <c r="AF135" s="559"/>
      <c r="AG135" s="3"/>
      <c r="AH135" s="3"/>
      <c r="AI135" s="3"/>
      <c r="AJ135" s="4" t="s">
        <v>76</v>
      </c>
      <c r="AK135" s="828">
        <f>SUM(AK107:AK132)+SUM(AK88:AK105)</f>
        <v>15</v>
      </c>
      <c r="AL135" s="828">
        <f>SUM(AL107:AL132)+SUM(AL88:AL104)</f>
        <v>15</v>
      </c>
      <c r="AM135" s="918">
        <f t="shared" ref="AM135:BD135" si="13">SUM(AM107:AM132)+SUM(AM88:AM105)</f>
        <v>0</v>
      </c>
      <c r="AN135" s="828">
        <f t="shared" si="13"/>
        <v>0</v>
      </c>
      <c r="AO135" s="918">
        <f t="shared" si="13"/>
        <v>15</v>
      </c>
      <c r="AP135" s="918">
        <f t="shared" si="13"/>
        <v>15</v>
      </c>
      <c r="AQ135" s="828">
        <f t="shared" si="13"/>
        <v>15</v>
      </c>
      <c r="AR135" s="828">
        <f t="shared" si="13"/>
        <v>0</v>
      </c>
      <c r="AS135" s="828">
        <f t="shared" si="13"/>
        <v>15</v>
      </c>
      <c r="AT135" s="918">
        <f t="shared" si="13"/>
        <v>0</v>
      </c>
      <c r="AU135" s="828">
        <f t="shared" si="13"/>
        <v>0</v>
      </c>
      <c r="AV135" s="918">
        <f t="shared" si="13"/>
        <v>15</v>
      </c>
      <c r="AW135" s="918">
        <f t="shared" si="13"/>
        <v>15</v>
      </c>
      <c r="AX135" s="828">
        <f t="shared" si="13"/>
        <v>15</v>
      </c>
      <c r="AY135" s="828">
        <f t="shared" si="13"/>
        <v>15</v>
      </c>
      <c r="AZ135" s="828">
        <f t="shared" si="13"/>
        <v>15</v>
      </c>
      <c r="BA135" s="918">
        <f t="shared" si="13"/>
        <v>0</v>
      </c>
      <c r="BB135" s="828">
        <f t="shared" si="13"/>
        <v>0</v>
      </c>
      <c r="BC135" s="918">
        <f t="shared" si="13"/>
        <v>15</v>
      </c>
      <c r="BD135" s="918">
        <f t="shared" si="13"/>
        <v>15</v>
      </c>
      <c r="BE135" s="828">
        <f t="shared" ref="BE135:BN135" si="14">SUM(BE107:BE122)+SUM(BE88:BE105)</f>
        <v>15</v>
      </c>
      <c r="BF135" s="828">
        <f t="shared" si="14"/>
        <v>15</v>
      </c>
      <c r="BG135" s="828">
        <f t="shared" si="14"/>
        <v>15</v>
      </c>
      <c r="BH135" s="918">
        <f t="shared" si="14"/>
        <v>0</v>
      </c>
      <c r="BI135" s="828">
        <f t="shared" si="14"/>
        <v>0</v>
      </c>
      <c r="BJ135" s="918">
        <f t="shared" si="14"/>
        <v>15</v>
      </c>
      <c r="BK135" s="918">
        <f t="shared" si="14"/>
        <v>15</v>
      </c>
      <c r="BL135" s="828">
        <f t="shared" si="14"/>
        <v>0</v>
      </c>
      <c r="BM135" s="828">
        <f t="shared" si="14"/>
        <v>0</v>
      </c>
      <c r="BN135" s="828">
        <f t="shared" si="14"/>
        <v>0</v>
      </c>
      <c r="BO135" s="918"/>
    </row>
    <row r="136" spans="2:68" ht="15" customHeight="1">
      <c r="B136" s="2024" t="s">
        <v>43</v>
      </c>
      <c r="C136" s="2025"/>
      <c r="D136" s="2025"/>
      <c r="E136" s="2025"/>
      <c r="F136" s="2025"/>
      <c r="G136" s="2025"/>
      <c r="H136" s="2025"/>
      <c r="I136" s="2025"/>
      <c r="J136" s="2025"/>
      <c r="K136" s="2025"/>
      <c r="L136" s="2025"/>
      <c r="M136" s="2025"/>
      <c r="N136" s="2025"/>
      <c r="O136" s="2025"/>
      <c r="P136" s="2025"/>
      <c r="Q136" s="2025"/>
      <c r="R136" s="2025"/>
      <c r="S136" s="2025"/>
      <c r="T136" s="2025"/>
      <c r="U136" s="2025"/>
      <c r="V136" s="2025"/>
      <c r="W136" s="2025"/>
      <c r="X136" s="2025"/>
      <c r="Y136" s="2025"/>
      <c r="Z136" s="2025"/>
      <c r="AA136" s="2025"/>
      <c r="AB136" s="2025"/>
      <c r="AC136" s="2025"/>
      <c r="AD136" s="2025"/>
      <c r="AE136" s="2025"/>
      <c r="AF136" s="2026"/>
      <c r="AG136" s="3"/>
      <c r="AH136" s="3"/>
      <c r="AI136" s="3"/>
      <c r="AJ136" s="3"/>
    </row>
    <row r="137" spans="2:68" ht="15" customHeight="1">
      <c r="B137" s="2202" t="s">
        <v>75</v>
      </c>
      <c r="C137" s="2203"/>
      <c r="D137" s="2203"/>
      <c r="E137" s="2203"/>
      <c r="F137" s="2203"/>
      <c r="G137" s="2203"/>
      <c r="H137" s="2203"/>
      <c r="I137" s="2203"/>
      <c r="J137" s="2203"/>
      <c r="K137" s="2203"/>
      <c r="L137" s="2203"/>
      <c r="M137" s="2203"/>
      <c r="N137" s="2203"/>
      <c r="O137" s="2203"/>
      <c r="P137" s="2203"/>
      <c r="Q137" s="2203"/>
      <c r="R137" s="2203"/>
      <c r="S137" s="2203"/>
      <c r="T137" s="2203"/>
      <c r="U137" s="2203"/>
      <c r="V137" s="2203"/>
      <c r="W137" s="2203"/>
      <c r="X137" s="2203"/>
      <c r="Y137" s="2203"/>
      <c r="Z137" s="2203"/>
      <c r="AA137" s="2203"/>
      <c r="AB137" s="2203"/>
      <c r="AC137" s="2203"/>
      <c r="AD137" s="2203"/>
      <c r="AE137" s="2203"/>
      <c r="AF137" s="2204"/>
      <c r="AG137" s="3"/>
      <c r="AH137" s="3"/>
      <c r="AI137" s="3"/>
      <c r="AJ137" s="3"/>
    </row>
    <row r="138" spans="2:68" ht="15" customHeight="1">
      <c r="B138" s="2205"/>
      <c r="C138" s="2203"/>
      <c r="D138" s="2203"/>
      <c r="E138" s="2203"/>
      <c r="F138" s="2203"/>
      <c r="G138" s="2203"/>
      <c r="H138" s="2203"/>
      <c r="I138" s="2203"/>
      <c r="J138" s="2203"/>
      <c r="K138" s="2203"/>
      <c r="L138" s="2203"/>
      <c r="M138" s="2203"/>
      <c r="N138" s="2203"/>
      <c r="O138" s="2203"/>
      <c r="P138" s="2203"/>
      <c r="Q138" s="2203"/>
      <c r="R138" s="2203"/>
      <c r="S138" s="2203"/>
      <c r="T138" s="2203"/>
      <c r="U138" s="2203"/>
      <c r="V138" s="2203"/>
      <c r="W138" s="2203"/>
      <c r="X138" s="2203"/>
      <c r="Y138" s="2203"/>
      <c r="Z138" s="2203"/>
      <c r="AA138" s="2203"/>
      <c r="AB138" s="2203"/>
      <c r="AC138" s="2203"/>
      <c r="AD138" s="2203"/>
      <c r="AE138" s="2203"/>
      <c r="AF138" s="2204"/>
      <c r="AG138" s="3"/>
      <c r="AH138" s="3"/>
      <c r="AI138" s="3"/>
      <c r="AJ138" s="3"/>
    </row>
    <row r="139" spans="2:68" ht="15" customHeight="1">
      <c r="B139" s="2205"/>
      <c r="C139" s="2203"/>
      <c r="D139" s="2203"/>
      <c r="E139" s="2203"/>
      <c r="F139" s="2203"/>
      <c r="G139" s="2203"/>
      <c r="H139" s="2203"/>
      <c r="I139" s="2203"/>
      <c r="J139" s="2203"/>
      <c r="K139" s="2203"/>
      <c r="L139" s="2203"/>
      <c r="M139" s="2203"/>
      <c r="N139" s="2203"/>
      <c r="O139" s="2203"/>
      <c r="P139" s="2203"/>
      <c r="Q139" s="2203"/>
      <c r="R139" s="2203"/>
      <c r="S139" s="2203"/>
      <c r="T139" s="2203"/>
      <c r="U139" s="2203"/>
      <c r="V139" s="2203"/>
      <c r="W139" s="2203"/>
      <c r="X139" s="2203"/>
      <c r="Y139" s="2203"/>
      <c r="Z139" s="2203"/>
      <c r="AA139" s="2203"/>
      <c r="AB139" s="2203"/>
      <c r="AC139" s="2203"/>
      <c r="AD139" s="2203"/>
      <c r="AE139" s="2203"/>
      <c r="AF139" s="2204"/>
      <c r="AG139" s="3"/>
      <c r="AH139" s="307"/>
      <c r="AI139" s="3"/>
      <c r="AJ139" s="3"/>
    </row>
    <row r="140" spans="2:68" ht="15" customHeight="1" thickBot="1">
      <c r="B140" s="352"/>
      <c r="C140" s="352"/>
      <c r="D140" s="352"/>
      <c r="E140" s="352"/>
      <c r="F140" s="352"/>
      <c r="G140" s="352"/>
      <c r="H140" s="352"/>
      <c r="I140" s="352"/>
      <c r="J140" s="352"/>
      <c r="K140" s="352"/>
      <c r="L140" s="352"/>
      <c r="M140" s="352"/>
      <c r="N140" s="352"/>
      <c r="O140" s="352"/>
      <c r="P140" s="352"/>
      <c r="Q140" s="352"/>
      <c r="R140" s="352"/>
      <c r="S140" s="352"/>
      <c r="T140" s="352"/>
      <c r="U140" s="352"/>
      <c r="V140" s="352"/>
      <c r="W140" s="352"/>
      <c r="X140" s="352"/>
      <c r="Y140" s="352"/>
      <c r="Z140" s="352"/>
      <c r="AA140" s="352"/>
      <c r="AB140" s="352"/>
      <c r="AC140" s="352"/>
      <c r="AD140" s="352"/>
      <c r="AE140" s="352"/>
      <c r="AF140" s="352"/>
      <c r="AG140" s="3"/>
      <c r="AH140" s="307"/>
      <c r="AI140" s="3"/>
      <c r="AJ140" s="3"/>
    </row>
    <row r="141" spans="2:68" ht="20.100000000000001" customHeight="1" thickTop="1">
      <c r="B141" s="1973" t="str">
        <f>$B$76</f>
        <v>Execução das Obras de Macrodrenagem das Ruas Ceciliano Abel de Almeida e Lourenço Sales</v>
      </c>
      <c r="C141" s="1973"/>
      <c r="D141" s="1973"/>
      <c r="E141" s="1973"/>
      <c r="F141" s="1973"/>
      <c r="G141" s="1973"/>
      <c r="H141" s="1973"/>
      <c r="I141" s="1973"/>
      <c r="J141" s="1973"/>
      <c r="K141" s="1973"/>
      <c r="L141" s="1973"/>
      <c r="M141" s="1973"/>
      <c r="N141" s="1973"/>
      <c r="O141" s="1973"/>
      <c r="P141" s="1973"/>
      <c r="Q141" s="1973"/>
      <c r="R141" s="1973"/>
      <c r="S141" s="1973"/>
      <c r="T141" s="1973"/>
      <c r="U141" s="1973"/>
      <c r="V141" s="1973"/>
      <c r="W141" s="1973"/>
      <c r="X141" s="1973"/>
      <c r="Y141" s="1973"/>
      <c r="Z141" s="1973"/>
      <c r="AA141" s="1973"/>
      <c r="AB141" s="1973"/>
      <c r="AC141" s="1973"/>
      <c r="AD141" s="1973"/>
      <c r="AE141" s="1973"/>
      <c r="AF141" s="1973"/>
      <c r="AJ141" s="3"/>
    </row>
    <row r="142" spans="2:68" s="349" customFormat="1" ht="24" customHeight="1" thickBot="1">
      <c r="B142" s="366" t="str">
        <f>$B$1</f>
        <v>Consolidação de Elementos de Medição e Supervisão das Condições Trabalhistas</v>
      </c>
      <c r="C142" s="366"/>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2201" t="str">
        <f>$AA$1</f>
        <v>CMRF 03/5222-08</v>
      </c>
      <c r="AA142" s="2201"/>
      <c r="AB142" s="2201"/>
      <c r="AC142" s="2201"/>
      <c r="AD142" s="2201"/>
      <c r="AE142" s="2201"/>
      <c r="AF142" s="2201"/>
    </row>
    <row r="143" spans="2:68" ht="15" customHeight="1" thickTop="1">
      <c r="B143" s="346"/>
      <c r="C143" s="346"/>
      <c r="D143" s="346"/>
      <c r="E143" s="346"/>
      <c r="F143" s="346"/>
      <c r="G143" s="346"/>
      <c r="H143" s="346"/>
      <c r="I143" s="346"/>
      <c r="J143" s="346"/>
      <c r="K143" s="346"/>
      <c r="L143" s="346"/>
      <c r="M143" s="346"/>
      <c r="N143" s="346"/>
      <c r="O143" s="346"/>
      <c r="P143" s="346"/>
      <c r="Q143" s="346"/>
      <c r="R143" s="346"/>
      <c r="S143" s="346"/>
      <c r="T143" s="346"/>
      <c r="U143" s="346"/>
      <c r="V143" s="346"/>
      <c r="W143" s="346"/>
      <c r="X143" s="346"/>
      <c r="Y143" s="346"/>
      <c r="Z143" s="346"/>
      <c r="AA143" s="346"/>
      <c r="AB143" s="346"/>
      <c r="AC143" s="346"/>
      <c r="AD143" s="346"/>
      <c r="AE143" s="346"/>
      <c r="AF143" s="346"/>
    </row>
    <row r="144" spans="2:68" ht="15" customHeight="1">
      <c r="B144" s="2087" t="s">
        <v>313</v>
      </c>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2087"/>
      <c r="AE144" s="2087"/>
      <c r="AF144" s="2087"/>
    </row>
    <row r="145" spans="2:73" ht="15" customHeight="1">
      <c r="B145" s="2090"/>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H145" s="576" t="s">
        <v>640</v>
      </c>
    </row>
    <row r="146" spans="2:73" ht="15" customHeight="1">
      <c r="B146" s="564"/>
      <c r="C146" s="564"/>
      <c r="D146" s="564"/>
      <c r="E146" s="564"/>
      <c r="F146" s="564"/>
      <c r="G146" s="564"/>
      <c r="H146" s="564"/>
      <c r="I146" s="564"/>
      <c r="J146" s="564"/>
      <c r="K146" s="564"/>
      <c r="L146" s="564"/>
      <c r="M146" s="564"/>
      <c r="N146" s="564"/>
      <c r="O146" s="564"/>
      <c r="P146" s="564"/>
      <c r="Q146" s="564"/>
      <c r="R146" s="564"/>
      <c r="S146" s="564"/>
      <c r="T146" s="564"/>
      <c r="U146" s="564"/>
      <c r="V146" s="564"/>
      <c r="W146" s="564"/>
      <c r="X146" s="564"/>
      <c r="Y146" s="564"/>
      <c r="Z146" s="564"/>
      <c r="AA146" s="564"/>
      <c r="AB146" s="564"/>
      <c r="AC146" s="564"/>
      <c r="AD146" s="564"/>
      <c r="AE146" s="564"/>
      <c r="AF146" s="564"/>
    </row>
    <row r="147" spans="2:73" ht="15" customHeight="1">
      <c r="B147" s="1964" t="s">
        <v>13</v>
      </c>
      <c r="C147" s="1964"/>
      <c r="D147" s="1964"/>
      <c r="E147" s="1964"/>
      <c r="F147" s="1964"/>
      <c r="G147" s="2040" t="str">
        <f>G82</f>
        <v>Andares Construções Civil Eireli EPP</v>
      </c>
      <c r="H147" s="2040"/>
      <c r="I147" s="2040"/>
      <c r="J147" s="2040"/>
      <c r="K147" s="2040"/>
      <c r="L147" s="2040"/>
      <c r="M147" s="2040"/>
      <c r="N147" s="2040"/>
      <c r="O147" s="2040"/>
      <c r="P147" s="2040"/>
      <c r="Q147" s="2040"/>
      <c r="R147" s="2040"/>
      <c r="S147" s="2040"/>
      <c r="T147" s="2041"/>
      <c r="U147" s="1963" t="s">
        <v>36</v>
      </c>
      <c r="V147" s="1964"/>
      <c r="W147" s="1964"/>
      <c r="X147" s="1964"/>
      <c r="Y147" s="1964"/>
      <c r="Z147" s="2196">
        <f>Y82</f>
        <v>8</v>
      </c>
      <c r="AA147" s="2197"/>
      <c r="AB147" s="2197"/>
      <c r="AC147" s="2197"/>
      <c r="AD147" s="2197"/>
      <c r="AE147" s="2197"/>
      <c r="AF147" s="2197"/>
    </row>
    <row r="148" spans="2:73" ht="18" customHeight="1">
      <c r="B148" s="2188"/>
      <c r="C148" s="2188"/>
      <c r="D148" s="2188"/>
      <c r="E148" s="2188"/>
      <c r="F148" s="2188"/>
      <c r="G148" s="2042"/>
      <c r="H148" s="2042"/>
      <c r="I148" s="2042"/>
      <c r="J148" s="2042"/>
      <c r="K148" s="2042"/>
      <c r="L148" s="2042"/>
      <c r="M148" s="2042"/>
      <c r="N148" s="2042"/>
      <c r="O148" s="2042"/>
      <c r="P148" s="2042"/>
      <c r="Q148" s="2042"/>
      <c r="R148" s="2042"/>
      <c r="S148" s="2042"/>
      <c r="T148" s="2195"/>
      <c r="U148" s="2198" t="s">
        <v>12</v>
      </c>
      <c r="V148" s="2188"/>
      <c r="W148" s="2188"/>
      <c r="X148" s="2188"/>
      <c r="Y148" s="2188"/>
      <c r="Z148" s="2199" t="str">
        <f>Y83</f>
        <v>01/06/2023 a 27/06/2023</v>
      </c>
      <c r="AA148" s="2200"/>
      <c r="AB148" s="2200"/>
      <c r="AC148" s="2200"/>
      <c r="AD148" s="2200"/>
      <c r="AE148" s="2200"/>
      <c r="AF148" s="2200"/>
    </row>
    <row r="149" spans="2:73" ht="30" customHeight="1">
      <c r="B149" s="2017" t="s">
        <v>37</v>
      </c>
      <c r="C149" s="2017"/>
      <c r="D149" s="2017"/>
      <c r="E149" s="2017"/>
      <c r="F149" s="2017"/>
      <c r="G149" s="2015" t="str">
        <f>G84</f>
        <v>Rua Ceciliano Abel de Almeida e Rua Lourenço Sales, Nova Itaparica</v>
      </c>
      <c r="H149" s="2015"/>
      <c r="I149" s="2015"/>
      <c r="J149" s="2015"/>
      <c r="K149" s="2015"/>
      <c r="L149" s="2015"/>
      <c r="M149" s="2015"/>
      <c r="N149" s="2015"/>
      <c r="O149" s="2015"/>
      <c r="P149" s="2015"/>
      <c r="Q149" s="2015"/>
      <c r="R149" s="2015"/>
      <c r="S149" s="2015"/>
      <c r="T149" s="2206"/>
      <c r="U149" s="2207" t="s">
        <v>38</v>
      </c>
      <c r="V149" s="2017"/>
      <c r="W149" s="2017"/>
      <c r="X149" s="2017"/>
      <c r="Y149" s="2017"/>
      <c r="Z149" s="2018" t="s">
        <v>643</v>
      </c>
      <c r="AA149" s="2208"/>
      <c r="AB149" s="2208"/>
      <c r="AC149" s="2208"/>
      <c r="AD149" s="2208"/>
      <c r="AE149" s="2208"/>
      <c r="AF149" s="2208"/>
    </row>
    <row r="150" spans="2:73" ht="15" customHeight="1">
      <c r="B150" s="565"/>
      <c r="C150" s="565"/>
      <c r="D150" s="565"/>
      <c r="E150" s="565"/>
      <c r="F150" s="565"/>
      <c r="G150" s="565"/>
      <c r="H150" s="565"/>
      <c r="I150" s="565"/>
      <c r="J150" s="565"/>
      <c r="K150" s="565"/>
      <c r="L150" s="565"/>
      <c r="M150" s="565"/>
      <c r="N150" s="565"/>
      <c r="O150" s="565"/>
      <c r="P150" s="565"/>
      <c r="Q150" s="565"/>
      <c r="R150" s="565"/>
      <c r="S150" s="565"/>
      <c r="T150" s="565"/>
      <c r="U150" s="565"/>
      <c r="V150" s="565"/>
      <c r="W150" s="565"/>
      <c r="X150" s="565"/>
      <c r="Y150" s="565"/>
      <c r="Z150" s="565"/>
      <c r="AA150" s="565"/>
      <c r="AB150" s="565"/>
      <c r="AC150" s="565"/>
      <c r="AD150" s="565"/>
      <c r="AE150" s="565"/>
      <c r="AF150" s="565"/>
    </row>
    <row r="151" spans="2:73" ht="15" customHeight="1">
      <c r="B151" s="2087" t="s">
        <v>1</v>
      </c>
      <c r="C151" s="2087"/>
      <c r="D151" s="2088"/>
      <c r="E151" s="2086" t="s">
        <v>44</v>
      </c>
      <c r="F151" s="2087"/>
      <c r="G151" s="2087"/>
      <c r="H151" s="2087"/>
      <c r="I151" s="2087"/>
      <c r="J151" s="2087"/>
      <c r="K151" s="2087"/>
      <c r="L151" s="2087"/>
      <c r="M151" s="2087"/>
      <c r="N151" s="2087"/>
      <c r="O151" s="2088"/>
      <c r="P151" s="2209" t="s">
        <v>45</v>
      </c>
      <c r="Q151" s="2210"/>
      <c r="R151" s="2210"/>
      <c r="S151" s="2210"/>
      <c r="T151" s="2210"/>
      <c r="U151" s="2210"/>
      <c r="V151" s="2210"/>
      <c r="W151" s="2211"/>
      <c r="X151" s="2209" t="s">
        <v>46</v>
      </c>
      <c r="Y151" s="2210"/>
      <c r="Z151" s="2210"/>
      <c r="AA151" s="2210"/>
      <c r="AB151" s="2210"/>
      <c r="AC151" s="2210"/>
      <c r="AD151" s="2210"/>
      <c r="AE151" s="2210"/>
      <c r="AF151" s="2210"/>
    </row>
    <row r="152" spans="2:73" ht="15" customHeight="1">
      <c r="B152" s="2090"/>
      <c r="C152" s="2090"/>
      <c r="D152" s="2091"/>
      <c r="E152" s="2089"/>
      <c r="F152" s="2090"/>
      <c r="G152" s="2090"/>
      <c r="H152" s="2090"/>
      <c r="I152" s="2090"/>
      <c r="J152" s="2090"/>
      <c r="K152" s="2090"/>
      <c r="L152" s="2090"/>
      <c r="M152" s="2090"/>
      <c r="N152" s="2090"/>
      <c r="O152" s="2091"/>
      <c r="P152" s="2212" t="s">
        <v>73</v>
      </c>
      <c r="Q152" s="2213"/>
      <c r="R152" s="2213"/>
      <c r="S152" s="2214"/>
      <c r="T152" s="2215" t="s">
        <v>47</v>
      </c>
      <c r="U152" s="2216"/>
      <c r="V152" s="2216"/>
      <c r="W152" s="2217"/>
      <c r="X152" s="2026" t="s">
        <v>48</v>
      </c>
      <c r="Y152" s="2218"/>
      <c r="Z152" s="2218"/>
      <c r="AA152" s="2026" t="s">
        <v>49</v>
      </c>
      <c r="AB152" s="2218"/>
      <c r="AC152" s="2218"/>
      <c r="AD152" s="2026" t="s">
        <v>50</v>
      </c>
      <c r="AE152" s="2218"/>
      <c r="AF152" s="2218"/>
      <c r="AJ152" s="4"/>
      <c r="AK152" s="826">
        <v>1</v>
      </c>
      <c r="AL152" s="826">
        <v>2</v>
      </c>
      <c r="AM152" s="826">
        <v>3</v>
      </c>
      <c r="AN152" s="826">
        <v>4</v>
      </c>
      <c r="AO152" s="826">
        <v>5</v>
      </c>
      <c r="AP152" s="826">
        <v>6</v>
      </c>
      <c r="AQ152" s="826">
        <v>7</v>
      </c>
      <c r="AR152" s="826">
        <v>8</v>
      </c>
      <c r="AS152" s="826">
        <v>9</v>
      </c>
      <c r="AT152" s="1277">
        <v>10</v>
      </c>
      <c r="AU152" s="826">
        <v>11</v>
      </c>
      <c r="AV152" s="826">
        <v>12</v>
      </c>
      <c r="AW152" s="826">
        <v>13</v>
      </c>
      <c r="AX152" s="826">
        <v>14</v>
      </c>
      <c r="AY152" s="826">
        <v>15</v>
      </c>
      <c r="AZ152" s="826">
        <v>16</v>
      </c>
      <c r="BA152" s="826">
        <v>17</v>
      </c>
      <c r="BB152" s="826">
        <v>18</v>
      </c>
      <c r="BC152" s="826">
        <v>19</v>
      </c>
      <c r="BD152" s="826">
        <v>20</v>
      </c>
      <c r="BE152" s="826">
        <v>21</v>
      </c>
      <c r="BF152" s="826">
        <v>22</v>
      </c>
      <c r="BG152" s="826">
        <v>23</v>
      </c>
      <c r="BH152" s="826">
        <v>24</v>
      </c>
      <c r="BI152" s="826">
        <v>25</v>
      </c>
      <c r="BJ152" s="826">
        <v>26</v>
      </c>
      <c r="BK152" s="826">
        <v>27</v>
      </c>
      <c r="BL152" s="826">
        <v>28</v>
      </c>
      <c r="BM152" s="826">
        <v>29</v>
      </c>
      <c r="BN152" s="826">
        <v>30</v>
      </c>
      <c r="BO152" s="826"/>
      <c r="BQ152" s="305" t="s">
        <v>72</v>
      </c>
      <c r="BU152" s="2146"/>
    </row>
    <row r="153" spans="2:73" ht="15" customHeight="1">
      <c r="B153" s="1979">
        <v>1</v>
      </c>
      <c r="C153" s="1987"/>
      <c r="D153" s="1987"/>
      <c r="E153" s="2219" t="str">
        <f t="shared" ref="E153:E156" si="15">AJ153</f>
        <v>Caminhão</v>
      </c>
      <c r="F153" s="2219"/>
      <c r="G153" s="2219"/>
      <c r="H153" s="2219"/>
      <c r="I153" s="2219"/>
      <c r="J153" s="2219"/>
      <c r="K153" s="2219"/>
      <c r="L153" s="2219"/>
      <c r="M153" s="2219"/>
      <c r="N153" s="2219"/>
      <c r="O153" s="2219"/>
      <c r="P153" s="2220">
        <f t="shared" ref="P153:P158" si="16">T153</f>
        <v>0</v>
      </c>
      <c r="Q153" s="2220"/>
      <c r="R153" s="2220"/>
      <c r="S153" s="2220"/>
      <c r="T153" s="2221">
        <f t="shared" ref="T153:T163" si="17">BQ153</f>
        <v>0</v>
      </c>
      <c r="U153" s="2221"/>
      <c r="V153" s="2221"/>
      <c r="W153" s="2221"/>
      <c r="X153" s="1976" t="str">
        <f>IF(T153&gt;0,"X","")</f>
        <v/>
      </c>
      <c r="Y153" s="1976"/>
      <c r="Z153" s="1976"/>
      <c r="AA153" s="1976"/>
      <c r="AB153" s="1976"/>
      <c r="AC153" s="1976"/>
      <c r="AD153" s="1976"/>
      <c r="AE153" s="1976"/>
      <c r="AF153" s="1977"/>
      <c r="AJ153" s="1269" t="s">
        <v>736</v>
      </c>
      <c r="AK153" s="917">
        <v>0</v>
      </c>
      <c r="AL153" s="917">
        <v>0</v>
      </c>
      <c r="AM153" s="917"/>
      <c r="AN153" s="917"/>
      <c r="AO153" s="917">
        <v>0</v>
      </c>
      <c r="AP153" s="917">
        <v>0</v>
      </c>
      <c r="AQ153" s="917">
        <v>0</v>
      </c>
      <c r="AR153" s="917"/>
      <c r="AS153" s="917"/>
      <c r="AT153" s="917"/>
      <c r="AU153" s="917"/>
      <c r="AV153" s="917">
        <v>0</v>
      </c>
      <c r="AW153" s="917">
        <v>0</v>
      </c>
      <c r="AX153" s="917">
        <v>0</v>
      </c>
      <c r="AY153" s="917">
        <v>0</v>
      </c>
      <c r="AZ153" s="917">
        <v>0</v>
      </c>
      <c r="BA153" s="917"/>
      <c r="BB153" s="917"/>
      <c r="BC153" s="917">
        <v>0</v>
      </c>
      <c r="BD153" s="917">
        <v>0</v>
      </c>
      <c r="BE153" s="917">
        <v>0</v>
      </c>
      <c r="BF153" s="917">
        <v>0</v>
      </c>
      <c r="BG153" s="917">
        <v>0</v>
      </c>
      <c r="BH153" s="917"/>
      <c r="BI153" s="917"/>
      <c r="BJ153" s="917">
        <v>0</v>
      </c>
      <c r="BK153" s="917">
        <v>0</v>
      </c>
      <c r="BL153" s="917"/>
      <c r="BM153" s="917"/>
      <c r="BN153" s="1555"/>
      <c r="BO153" s="1335"/>
      <c r="BQ153" s="333">
        <f t="shared" ref="BQ153:BQ168" si="18">IFERROR(AVERAGE((AK153:BO153)),"")</f>
        <v>0</v>
      </c>
      <c r="BU153" s="2146"/>
    </row>
    <row r="154" spans="2:73" ht="15" customHeight="1">
      <c r="B154" s="1979">
        <f t="shared" ref="B154:B159" si="19">B153+1</f>
        <v>2</v>
      </c>
      <c r="C154" s="1987"/>
      <c r="D154" s="1987"/>
      <c r="E154" s="2219" t="str">
        <f t="shared" si="15"/>
        <v xml:space="preserve">Compactador Prancha </v>
      </c>
      <c r="F154" s="2219"/>
      <c r="G154" s="2219"/>
      <c r="H154" s="2219"/>
      <c r="I154" s="2219"/>
      <c r="J154" s="2219"/>
      <c r="K154" s="2219"/>
      <c r="L154" s="2219"/>
      <c r="M154" s="2219"/>
      <c r="N154" s="2219"/>
      <c r="O154" s="2219"/>
      <c r="P154" s="2220">
        <f t="shared" si="16"/>
        <v>0</v>
      </c>
      <c r="Q154" s="2220"/>
      <c r="R154" s="2220"/>
      <c r="S154" s="2220"/>
      <c r="T154" s="2221">
        <f t="shared" si="17"/>
        <v>0</v>
      </c>
      <c r="U154" s="2221"/>
      <c r="V154" s="2221"/>
      <c r="W154" s="2221"/>
      <c r="X154" s="1976" t="str">
        <f>IF(T154&gt;0,"X","")</f>
        <v/>
      </c>
      <c r="Y154" s="1976"/>
      <c r="Z154" s="1976"/>
      <c r="AA154" s="1976"/>
      <c r="AB154" s="1976"/>
      <c r="AC154" s="1976"/>
      <c r="AD154" s="1976"/>
      <c r="AE154" s="1976"/>
      <c r="AF154" s="1977"/>
      <c r="AJ154" s="1269" t="s">
        <v>737</v>
      </c>
      <c r="AK154" s="917">
        <v>0</v>
      </c>
      <c r="AL154" s="917">
        <v>0</v>
      </c>
      <c r="AM154" s="917"/>
      <c r="AN154" s="917"/>
      <c r="AO154" s="917">
        <v>0</v>
      </c>
      <c r="AP154" s="917">
        <v>0</v>
      </c>
      <c r="AQ154" s="917">
        <v>0</v>
      </c>
      <c r="AR154" s="917"/>
      <c r="AS154" s="917"/>
      <c r="AT154" s="917"/>
      <c r="AU154" s="917"/>
      <c r="AV154" s="917">
        <v>0</v>
      </c>
      <c r="AW154" s="917">
        <v>0</v>
      </c>
      <c r="AX154" s="917">
        <v>0</v>
      </c>
      <c r="AY154" s="917">
        <v>0</v>
      </c>
      <c r="AZ154" s="917">
        <v>0</v>
      </c>
      <c r="BA154" s="917"/>
      <c r="BB154" s="917"/>
      <c r="BC154" s="917">
        <v>0</v>
      </c>
      <c r="BD154" s="917">
        <v>0</v>
      </c>
      <c r="BE154" s="917">
        <v>0</v>
      </c>
      <c r="BF154" s="917">
        <v>0</v>
      </c>
      <c r="BG154" s="917">
        <v>0</v>
      </c>
      <c r="BH154" s="917"/>
      <c r="BI154" s="917"/>
      <c r="BJ154" s="917">
        <v>0</v>
      </c>
      <c r="BK154" s="917">
        <v>0</v>
      </c>
      <c r="BL154" s="917"/>
      <c r="BM154" s="917"/>
      <c r="BN154" s="1555"/>
      <c r="BO154" s="1335"/>
      <c r="BQ154" s="333">
        <f t="shared" si="18"/>
        <v>0</v>
      </c>
      <c r="BU154" s="2146"/>
    </row>
    <row r="155" spans="2:73" ht="15" customHeight="1">
      <c r="B155" s="1979">
        <f t="shared" si="19"/>
        <v>3</v>
      </c>
      <c r="C155" s="1987"/>
      <c r="D155" s="1987"/>
      <c r="E155" s="2219" t="str">
        <f t="shared" si="15"/>
        <v>Compactador Manual</v>
      </c>
      <c r="F155" s="2219"/>
      <c r="G155" s="2219"/>
      <c r="H155" s="2219"/>
      <c r="I155" s="2219"/>
      <c r="J155" s="2219"/>
      <c r="K155" s="2219"/>
      <c r="L155" s="2219"/>
      <c r="M155" s="2219"/>
      <c r="N155" s="2219"/>
      <c r="O155" s="2219"/>
      <c r="P155" s="2220">
        <f t="shared" si="16"/>
        <v>1</v>
      </c>
      <c r="Q155" s="2220"/>
      <c r="R155" s="2220"/>
      <c r="S155" s="2220"/>
      <c r="T155" s="2221">
        <f t="shared" si="17"/>
        <v>1</v>
      </c>
      <c r="U155" s="2221"/>
      <c r="V155" s="2221"/>
      <c r="W155" s="2221"/>
      <c r="X155" s="1976" t="str">
        <f t="shared" ref="X155:X168" si="20">IF(T155&gt;0,"X","")</f>
        <v>X</v>
      </c>
      <c r="Y155" s="1976"/>
      <c r="Z155" s="1976"/>
      <c r="AA155" s="1976"/>
      <c r="AB155" s="1976"/>
      <c r="AC155" s="1976"/>
      <c r="AD155" s="1976"/>
      <c r="AE155" s="1976"/>
      <c r="AF155" s="1977"/>
      <c r="AJ155" s="1269" t="s">
        <v>918</v>
      </c>
      <c r="AK155" s="917">
        <v>1</v>
      </c>
      <c r="AL155" s="917">
        <v>1</v>
      </c>
      <c r="AM155" s="917"/>
      <c r="AN155" s="917"/>
      <c r="AO155" s="917">
        <v>1</v>
      </c>
      <c r="AP155" s="917">
        <v>1</v>
      </c>
      <c r="AQ155" s="917">
        <v>1</v>
      </c>
      <c r="AR155" s="1555"/>
      <c r="AS155" s="1555"/>
      <c r="AT155" s="1555"/>
      <c r="AU155" s="1555"/>
      <c r="AV155" s="917">
        <v>1</v>
      </c>
      <c r="AW155" s="917">
        <v>1</v>
      </c>
      <c r="AX155" s="917">
        <v>1</v>
      </c>
      <c r="AY155" s="917">
        <v>1</v>
      </c>
      <c r="AZ155" s="917">
        <v>1</v>
      </c>
      <c r="BA155" s="1555"/>
      <c r="BB155" s="1555"/>
      <c r="BC155" s="917">
        <v>1</v>
      </c>
      <c r="BD155" s="917">
        <v>1</v>
      </c>
      <c r="BE155" s="917">
        <v>1</v>
      </c>
      <c r="BF155" s="917">
        <v>1</v>
      </c>
      <c r="BG155" s="917">
        <v>1</v>
      </c>
      <c r="BH155" s="1555"/>
      <c r="BI155" s="1555"/>
      <c r="BJ155" s="917">
        <v>1</v>
      </c>
      <c r="BK155" s="917">
        <v>1</v>
      </c>
      <c r="BL155" s="917"/>
      <c r="BM155" s="917"/>
      <c r="BN155" s="1555"/>
      <c r="BO155" s="1335"/>
      <c r="BQ155" s="333">
        <f t="shared" si="18"/>
        <v>1</v>
      </c>
      <c r="BU155" s="2146"/>
    </row>
    <row r="156" spans="2:73" ht="15" customHeight="1">
      <c r="B156" s="1979">
        <f t="shared" si="19"/>
        <v>4</v>
      </c>
      <c r="C156" s="1987"/>
      <c r="D156" s="1987"/>
      <c r="E156" s="2219" t="str">
        <f t="shared" si="15"/>
        <v>Escavadeira</v>
      </c>
      <c r="F156" s="2219"/>
      <c r="G156" s="2219"/>
      <c r="H156" s="2219"/>
      <c r="I156" s="2219"/>
      <c r="J156" s="2219"/>
      <c r="K156" s="2219"/>
      <c r="L156" s="2219"/>
      <c r="M156" s="2219"/>
      <c r="N156" s="2219"/>
      <c r="O156" s="2219"/>
      <c r="P156" s="2220">
        <f t="shared" si="16"/>
        <v>0</v>
      </c>
      <c r="Q156" s="2220"/>
      <c r="R156" s="2220"/>
      <c r="S156" s="2220"/>
      <c r="T156" s="2221">
        <f t="shared" si="17"/>
        <v>0</v>
      </c>
      <c r="U156" s="2221"/>
      <c r="V156" s="2221"/>
      <c r="W156" s="2221"/>
      <c r="X156" s="1976" t="str">
        <f t="shared" si="20"/>
        <v/>
      </c>
      <c r="Y156" s="1976"/>
      <c r="Z156" s="1976"/>
      <c r="AA156" s="1976"/>
      <c r="AB156" s="1976"/>
      <c r="AC156" s="1976"/>
      <c r="AD156" s="1976"/>
      <c r="AE156" s="1976"/>
      <c r="AF156" s="1977"/>
      <c r="AJ156" s="1269" t="s">
        <v>735</v>
      </c>
      <c r="AK156" s="917">
        <v>0</v>
      </c>
      <c r="AL156" s="917">
        <v>0</v>
      </c>
      <c r="AM156" s="917"/>
      <c r="AN156" s="917"/>
      <c r="AO156" s="917">
        <v>0</v>
      </c>
      <c r="AP156" s="917">
        <v>0</v>
      </c>
      <c r="AQ156" s="917">
        <v>0</v>
      </c>
      <c r="AR156" s="917"/>
      <c r="AS156" s="917"/>
      <c r="AT156" s="917"/>
      <c r="AU156" s="917"/>
      <c r="AV156" s="917">
        <v>0</v>
      </c>
      <c r="AW156" s="917">
        <v>0</v>
      </c>
      <c r="AX156" s="917">
        <v>0</v>
      </c>
      <c r="AY156" s="917">
        <v>0</v>
      </c>
      <c r="AZ156" s="917">
        <v>0</v>
      </c>
      <c r="BA156" s="917"/>
      <c r="BB156" s="917"/>
      <c r="BC156" s="917">
        <v>0</v>
      </c>
      <c r="BD156" s="917">
        <v>0</v>
      </c>
      <c r="BE156" s="917">
        <v>0</v>
      </c>
      <c r="BF156" s="917">
        <v>0</v>
      </c>
      <c r="BG156" s="917">
        <v>0</v>
      </c>
      <c r="BH156" s="917"/>
      <c r="BI156" s="917"/>
      <c r="BJ156" s="917">
        <v>0</v>
      </c>
      <c r="BK156" s="917">
        <v>0</v>
      </c>
      <c r="BL156" s="917"/>
      <c r="BM156" s="917"/>
      <c r="BN156" s="1555"/>
      <c r="BO156" s="1335"/>
      <c r="BQ156" s="333">
        <f t="shared" si="18"/>
        <v>0</v>
      </c>
      <c r="BU156" s="2146"/>
    </row>
    <row r="157" spans="2:73" ht="15" customHeight="1">
      <c r="B157" s="1979">
        <f t="shared" si="19"/>
        <v>5</v>
      </c>
      <c r="C157" s="1987"/>
      <c r="D157" s="1987"/>
      <c r="E157" s="2219" t="str">
        <f t="shared" ref="E157:E168" si="21">IF(AJ157="","",AJ157)</f>
        <v>Pick-up</v>
      </c>
      <c r="F157" s="2219"/>
      <c r="G157" s="2219"/>
      <c r="H157" s="2219"/>
      <c r="I157" s="2219"/>
      <c r="J157" s="2219"/>
      <c r="K157" s="2219"/>
      <c r="L157" s="2219"/>
      <c r="M157" s="2219"/>
      <c r="N157" s="2219"/>
      <c r="O157" s="2219"/>
      <c r="P157" s="2220">
        <f t="shared" si="16"/>
        <v>0</v>
      </c>
      <c r="Q157" s="2220"/>
      <c r="R157" s="2220"/>
      <c r="S157" s="2220"/>
      <c r="T157" s="2221">
        <f t="shared" si="17"/>
        <v>0</v>
      </c>
      <c r="U157" s="2221"/>
      <c r="V157" s="2221"/>
      <c r="W157" s="2221"/>
      <c r="X157" s="1976" t="str">
        <f t="shared" ref="X157:X158" si="22">IF(T157&gt;0,"X","")</f>
        <v/>
      </c>
      <c r="Y157" s="1976"/>
      <c r="Z157" s="1976"/>
      <c r="AA157" s="1976"/>
      <c r="AB157" s="1976"/>
      <c r="AC157" s="1976"/>
      <c r="AD157" s="1976"/>
      <c r="AE157" s="1976"/>
      <c r="AF157" s="1977"/>
      <c r="AJ157" s="1269" t="s">
        <v>738</v>
      </c>
      <c r="AK157" s="917">
        <v>0</v>
      </c>
      <c r="AL157" s="917">
        <v>0</v>
      </c>
      <c r="AM157" s="917"/>
      <c r="AN157" s="917"/>
      <c r="AO157" s="917">
        <v>0</v>
      </c>
      <c r="AP157" s="917">
        <v>0</v>
      </c>
      <c r="AQ157" s="917">
        <v>0</v>
      </c>
      <c r="AR157" s="1555"/>
      <c r="AS157" s="1555"/>
      <c r="AT157" s="1555"/>
      <c r="AU157" s="1555"/>
      <c r="AV157" s="917">
        <v>0</v>
      </c>
      <c r="AW157" s="917">
        <v>0</v>
      </c>
      <c r="AX157" s="917">
        <v>0</v>
      </c>
      <c r="AY157" s="917">
        <v>0</v>
      </c>
      <c r="AZ157" s="917">
        <v>0</v>
      </c>
      <c r="BA157" s="1555"/>
      <c r="BB157" s="1555"/>
      <c r="BC157" s="917">
        <v>0</v>
      </c>
      <c r="BD157" s="917">
        <v>0</v>
      </c>
      <c r="BE157" s="917">
        <v>0</v>
      </c>
      <c r="BF157" s="917">
        <v>0</v>
      </c>
      <c r="BG157" s="917">
        <v>0</v>
      </c>
      <c r="BH157" s="1555"/>
      <c r="BI157" s="1555"/>
      <c r="BJ157" s="917">
        <v>0</v>
      </c>
      <c r="BK157" s="917">
        <v>0</v>
      </c>
      <c r="BL157" s="917"/>
      <c r="BM157" s="917"/>
      <c r="BN157" s="1555"/>
      <c r="BO157" s="1335"/>
      <c r="BQ157" s="333">
        <f t="shared" si="18"/>
        <v>0</v>
      </c>
      <c r="BU157" s="2146"/>
    </row>
    <row r="158" spans="2:73" ht="15" customHeight="1">
      <c r="B158" s="1979">
        <f t="shared" si="19"/>
        <v>6</v>
      </c>
      <c r="C158" s="1987"/>
      <c r="D158" s="1987"/>
      <c r="E158" s="2219" t="str">
        <f t="shared" si="21"/>
        <v>Retroescavadeira</v>
      </c>
      <c r="F158" s="2219"/>
      <c r="G158" s="2219"/>
      <c r="H158" s="2219"/>
      <c r="I158" s="2219"/>
      <c r="J158" s="2219"/>
      <c r="K158" s="2219"/>
      <c r="L158" s="2219"/>
      <c r="M158" s="2219"/>
      <c r="N158" s="2219"/>
      <c r="O158" s="2219"/>
      <c r="P158" s="2220">
        <f t="shared" si="16"/>
        <v>1</v>
      </c>
      <c r="Q158" s="2220"/>
      <c r="R158" s="2220"/>
      <c r="S158" s="2220"/>
      <c r="T158" s="2221">
        <f t="shared" si="17"/>
        <v>1</v>
      </c>
      <c r="U158" s="2221"/>
      <c r="V158" s="2221"/>
      <c r="W158" s="2221"/>
      <c r="X158" s="1976" t="str">
        <f t="shared" si="22"/>
        <v>X</v>
      </c>
      <c r="Y158" s="1976"/>
      <c r="Z158" s="1976"/>
      <c r="AA158" s="1976"/>
      <c r="AB158" s="1976"/>
      <c r="AC158" s="1976"/>
      <c r="AD158" s="1976"/>
      <c r="AE158" s="1976"/>
      <c r="AF158" s="1977"/>
      <c r="AJ158" s="1269" t="s">
        <v>529</v>
      </c>
      <c r="AK158" s="917">
        <v>1</v>
      </c>
      <c r="AL158" s="917">
        <v>1</v>
      </c>
      <c r="AM158" s="917"/>
      <c r="AN158" s="917"/>
      <c r="AO158" s="917">
        <v>1</v>
      </c>
      <c r="AP158" s="917">
        <v>1</v>
      </c>
      <c r="AQ158" s="917">
        <v>1</v>
      </c>
      <c r="AR158" s="1555"/>
      <c r="AS158" s="1555"/>
      <c r="AT158" s="1555"/>
      <c r="AU158" s="1555"/>
      <c r="AV158" s="917">
        <v>1</v>
      </c>
      <c r="AW158" s="917">
        <v>1</v>
      </c>
      <c r="AX158" s="917">
        <v>1</v>
      </c>
      <c r="AY158" s="917">
        <v>1</v>
      </c>
      <c r="AZ158" s="917">
        <v>1</v>
      </c>
      <c r="BA158" s="1555"/>
      <c r="BB158" s="1555"/>
      <c r="BC158" s="917">
        <v>1</v>
      </c>
      <c r="BD158" s="917">
        <v>1</v>
      </c>
      <c r="BE158" s="917">
        <v>1</v>
      </c>
      <c r="BF158" s="917">
        <v>1</v>
      </c>
      <c r="BG158" s="917">
        <v>1</v>
      </c>
      <c r="BH158" s="1555"/>
      <c r="BI158" s="1555"/>
      <c r="BJ158" s="917">
        <v>1</v>
      </c>
      <c r="BK158" s="917">
        <v>1</v>
      </c>
      <c r="BL158" s="917"/>
      <c r="BM158" s="917"/>
      <c r="BN158" s="1555"/>
      <c r="BO158" s="1335"/>
      <c r="BQ158" s="333">
        <f t="shared" si="18"/>
        <v>1</v>
      </c>
      <c r="BU158" s="2146"/>
    </row>
    <row r="159" spans="2:73" ht="15" customHeight="1">
      <c r="B159" s="1979">
        <f t="shared" si="19"/>
        <v>7</v>
      </c>
      <c r="C159" s="1987"/>
      <c r="D159" s="1987"/>
      <c r="E159" s="2219" t="str">
        <f t="shared" si="21"/>
        <v>Automóvel</v>
      </c>
      <c r="F159" s="2219"/>
      <c r="G159" s="2219"/>
      <c r="H159" s="2219"/>
      <c r="I159" s="2219"/>
      <c r="J159" s="2219"/>
      <c r="K159" s="2219"/>
      <c r="L159" s="2219"/>
      <c r="M159" s="2219"/>
      <c r="N159" s="2219"/>
      <c r="O159" s="2219"/>
      <c r="P159" s="2220">
        <f t="shared" ref="P159:P160" si="23">T159</f>
        <v>2</v>
      </c>
      <c r="Q159" s="2220"/>
      <c r="R159" s="2220"/>
      <c r="S159" s="2220"/>
      <c r="T159" s="2221">
        <f t="shared" si="17"/>
        <v>2</v>
      </c>
      <c r="U159" s="2221"/>
      <c r="V159" s="2221"/>
      <c r="W159" s="2221"/>
      <c r="X159" s="1976" t="str">
        <f t="shared" ref="X159" si="24">IF(T159&gt;0,"X","")</f>
        <v>X</v>
      </c>
      <c r="Y159" s="1976"/>
      <c r="Z159" s="1976"/>
      <c r="AA159" s="1976"/>
      <c r="AB159" s="1976"/>
      <c r="AC159" s="1976"/>
      <c r="AD159" s="1976"/>
      <c r="AE159" s="1976"/>
      <c r="AF159" s="1977"/>
      <c r="AJ159" s="1269" t="s">
        <v>919</v>
      </c>
      <c r="AK159" s="917">
        <v>2</v>
      </c>
      <c r="AL159" s="917">
        <v>2</v>
      </c>
      <c r="AM159" s="917"/>
      <c r="AN159" s="917"/>
      <c r="AO159" s="917">
        <v>2</v>
      </c>
      <c r="AP159" s="917">
        <v>2</v>
      </c>
      <c r="AQ159" s="917">
        <v>2</v>
      </c>
      <c r="AR159" s="1555"/>
      <c r="AS159" s="1555"/>
      <c r="AT159" s="1555"/>
      <c r="AU159" s="1555"/>
      <c r="AV159" s="917">
        <v>2</v>
      </c>
      <c r="AW159" s="917">
        <v>2</v>
      </c>
      <c r="AX159" s="917">
        <v>2</v>
      </c>
      <c r="AY159" s="917">
        <v>2</v>
      </c>
      <c r="AZ159" s="917">
        <v>2</v>
      </c>
      <c r="BA159" s="1555"/>
      <c r="BB159" s="1555"/>
      <c r="BC159" s="917">
        <v>2</v>
      </c>
      <c r="BD159" s="917">
        <v>2</v>
      </c>
      <c r="BE159" s="917">
        <v>2</v>
      </c>
      <c r="BF159" s="917">
        <v>2</v>
      </c>
      <c r="BG159" s="917">
        <v>2</v>
      </c>
      <c r="BH159" s="1555"/>
      <c r="BI159" s="1555"/>
      <c r="BJ159" s="917">
        <v>2</v>
      </c>
      <c r="BK159" s="917">
        <v>2</v>
      </c>
      <c r="BL159" s="917"/>
      <c r="BM159" s="917"/>
      <c r="BN159" s="1555"/>
      <c r="BO159" s="1335"/>
      <c r="BQ159" s="333">
        <f t="shared" si="18"/>
        <v>2</v>
      </c>
      <c r="BU159" s="2146"/>
    </row>
    <row r="160" spans="2:73" ht="15" customHeight="1">
      <c r="B160" s="1979"/>
      <c r="C160" s="1987"/>
      <c r="D160" s="1987"/>
      <c r="E160" s="2219" t="str">
        <f t="shared" si="21"/>
        <v/>
      </c>
      <c r="F160" s="2219"/>
      <c r="G160" s="2219"/>
      <c r="H160" s="2219"/>
      <c r="I160" s="2219"/>
      <c r="J160" s="2219"/>
      <c r="K160" s="2219"/>
      <c r="L160" s="2219"/>
      <c r="M160" s="2219"/>
      <c r="N160" s="2219"/>
      <c r="O160" s="2219"/>
      <c r="P160" s="2220" t="str">
        <f t="shared" si="23"/>
        <v/>
      </c>
      <c r="Q160" s="2220"/>
      <c r="R160" s="2220"/>
      <c r="S160" s="2220"/>
      <c r="T160" s="2221" t="str">
        <f t="shared" si="17"/>
        <v/>
      </c>
      <c r="U160" s="2221"/>
      <c r="V160" s="2221"/>
      <c r="W160" s="2221"/>
      <c r="X160" s="1976"/>
      <c r="Y160" s="1976"/>
      <c r="Z160" s="1976"/>
      <c r="AA160" s="1976"/>
      <c r="AB160" s="1976"/>
      <c r="AC160" s="1976"/>
      <c r="AD160" s="1976"/>
      <c r="AE160" s="1976"/>
      <c r="AF160" s="1977"/>
      <c r="AJ160" s="1269"/>
      <c r="AK160" s="917"/>
      <c r="AL160" s="917"/>
      <c r="AM160" s="917"/>
      <c r="AN160" s="917"/>
      <c r="AO160" s="917"/>
      <c r="AP160" s="917"/>
      <c r="AQ160" s="917"/>
      <c r="AR160" s="1556"/>
      <c r="AS160" s="917"/>
      <c r="AT160" s="917"/>
      <c r="AU160" s="917"/>
      <c r="AV160" s="917"/>
      <c r="AW160" s="917"/>
      <c r="AX160" s="917"/>
      <c r="AY160" s="917"/>
      <c r="AZ160" s="917"/>
      <c r="BA160" s="917"/>
      <c r="BB160" s="917"/>
      <c r="BC160" s="917"/>
      <c r="BD160" s="917"/>
      <c r="BE160" s="917"/>
      <c r="BF160" s="917"/>
      <c r="BG160" s="917"/>
      <c r="BH160" s="917"/>
      <c r="BI160" s="917"/>
      <c r="BJ160" s="917"/>
      <c r="BK160" s="917"/>
      <c r="BL160" s="1556"/>
      <c r="BM160" s="917"/>
      <c r="BN160" s="1555"/>
      <c r="BO160" s="1335"/>
      <c r="BQ160" s="333" t="str">
        <f t="shared" si="18"/>
        <v/>
      </c>
      <c r="BU160" s="2146"/>
    </row>
    <row r="161" spans="2:73" ht="15" customHeight="1">
      <c r="B161" s="1979"/>
      <c r="C161" s="1987"/>
      <c r="D161" s="1987"/>
      <c r="E161" s="2219" t="str">
        <f t="shared" si="21"/>
        <v/>
      </c>
      <c r="F161" s="2219"/>
      <c r="G161" s="2219"/>
      <c r="H161" s="2219"/>
      <c r="I161" s="2219"/>
      <c r="J161" s="2219"/>
      <c r="K161" s="2219"/>
      <c r="L161" s="2219"/>
      <c r="M161" s="2219"/>
      <c r="N161" s="2219"/>
      <c r="O161" s="2219"/>
      <c r="P161" s="2220"/>
      <c r="Q161" s="2220"/>
      <c r="R161" s="2220"/>
      <c r="S161" s="2220"/>
      <c r="T161" s="2221" t="str">
        <f t="shared" si="17"/>
        <v/>
      </c>
      <c r="U161" s="2221"/>
      <c r="V161" s="2221"/>
      <c r="W161" s="2221"/>
      <c r="X161" s="2147" t="str">
        <f t="shared" si="20"/>
        <v>X</v>
      </c>
      <c r="Y161" s="2147"/>
      <c r="Z161" s="2147"/>
      <c r="AA161" s="1976"/>
      <c r="AB161" s="1976"/>
      <c r="AC161" s="1976"/>
      <c r="AD161" s="1976"/>
      <c r="AE161" s="1976"/>
      <c r="AF161" s="1977"/>
      <c r="AJ161" s="295"/>
      <c r="AK161" s="827"/>
      <c r="AL161" s="827"/>
      <c r="AM161" s="827"/>
      <c r="AN161" s="827"/>
      <c r="AO161" s="827"/>
      <c r="AP161" s="827"/>
      <c r="AQ161" s="827"/>
      <c r="AR161" s="827"/>
      <c r="AS161" s="827"/>
      <c r="AT161" s="827"/>
      <c r="AU161" s="827"/>
      <c r="AV161" s="827"/>
      <c r="AW161" s="827"/>
      <c r="AX161" s="827"/>
      <c r="AY161" s="827"/>
      <c r="AZ161" s="827"/>
      <c r="BA161" s="827"/>
      <c r="BB161" s="827"/>
      <c r="BC161" s="827"/>
      <c r="BD161" s="827"/>
      <c r="BE161" s="827"/>
      <c r="BF161" s="827"/>
      <c r="BG161" s="827"/>
      <c r="BH161" s="827"/>
      <c r="BI161" s="827"/>
      <c r="BJ161" s="827"/>
      <c r="BK161" s="827"/>
      <c r="BL161" s="827"/>
      <c r="BM161" s="827"/>
      <c r="BN161" s="827"/>
      <c r="BO161" s="827"/>
      <c r="BQ161" s="333" t="str">
        <f t="shared" si="18"/>
        <v/>
      </c>
      <c r="BU161" s="2146"/>
    </row>
    <row r="162" spans="2:73" ht="15" customHeight="1">
      <c r="B162" s="1979"/>
      <c r="C162" s="1987"/>
      <c r="D162" s="1987"/>
      <c r="E162" s="2219" t="str">
        <f t="shared" si="21"/>
        <v/>
      </c>
      <c r="F162" s="2219"/>
      <c r="G162" s="2219"/>
      <c r="H162" s="2219"/>
      <c r="I162" s="2219"/>
      <c r="J162" s="2219"/>
      <c r="K162" s="2219"/>
      <c r="L162" s="2219"/>
      <c r="M162" s="2219"/>
      <c r="N162" s="2219"/>
      <c r="O162" s="2219"/>
      <c r="P162" s="2220"/>
      <c r="Q162" s="2220"/>
      <c r="R162" s="2220"/>
      <c r="S162" s="2220"/>
      <c r="T162" s="2221" t="str">
        <f t="shared" si="17"/>
        <v/>
      </c>
      <c r="U162" s="2221"/>
      <c r="V162" s="2221"/>
      <c r="W162" s="2221"/>
      <c r="X162" s="2147" t="str">
        <f t="shared" si="20"/>
        <v>X</v>
      </c>
      <c r="Y162" s="2147"/>
      <c r="Z162" s="2147"/>
      <c r="AA162" s="1976"/>
      <c r="AB162" s="1976"/>
      <c r="AC162" s="1976"/>
      <c r="AD162" s="1976"/>
      <c r="AE162" s="1976"/>
      <c r="AF162" s="1977"/>
      <c r="AJ162" s="295"/>
      <c r="AK162" s="827"/>
      <c r="AL162" s="827"/>
      <c r="AM162" s="827"/>
      <c r="AN162" s="827"/>
      <c r="AO162" s="827"/>
      <c r="AP162" s="827"/>
      <c r="AQ162" s="827"/>
      <c r="AR162" s="827"/>
      <c r="AS162" s="827"/>
      <c r="AT162" s="827"/>
      <c r="AU162" s="827"/>
      <c r="AV162" s="827"/>
      <c r="AW162" s="827"/>
      <c r="AX162" s="827"/>
      <c r="AY162" s="827"/>
      <c r="AZ162" s="827"/>
      <c r="BA162" s="827"/>
      <c r="BB162" s="827"/>
      <c r="BC162" s="827"/>
      <c r="BD162" s="827"/>
      <c r="BE162" s="827"/>
      <c r="BF162" s="827"/>
      <c r="BG162" s="827"/>
      <c r="BH162" s="827"/>
      <c r="BI162" s="827"/>
      <c r="BJ162" s="827"/>
      <c r="BK162" s="827"/>
      <c r="BL162" s="827"/>
      <c r="BM162" s="827"/>
      <c r="BN162" s="827"/>
      <c r="BO162" s="827"/>
      <c r="BQ162" s="333" t="str">
        <f t="shared" si="18"/>
        <v/>
      </c>
      <c r="BU162" s="2146"/>
    </row>
    <row r="163" spans="2:73" ht="15" customHeight="1">
      <c r="B163" s="1979"/>
      <c r="C163" s="1987"/>
      <c r="D163" s="1987"/>
      <c r="E163" s="2219" t="str">
        <f t="shared" si="21"/>
        <v/>
      </c>
      <c r="F163" s="2219"/>
      <c r="G163" s="2219"/>
      <c r="H163" s="2219"/>
      <c r="I163" s="2219"/>
      <c r="J163" s="2219"/>
      <c r="K163" s="2219"/>
      <c r="L163" s="2219"/>
      <c r="M163" s="2219"/>
      <c r="N163" s="2219"/>
      <c r="O163" s="2219"/>
      <c r="P163" s="2220"/>
      <c r="Q163" s="2220"/>
      <c r="R163" s="2220"/>
      <c r="S163" s="2220"/>
      <c r="T163" s="2221" t="str">
        <f t="shared" si="17"/>
        <v/>
      </c>
      <c r="U163" s="2221"/>
      <c r="V163" s="2221"/>
      <c r="W163" s="2221"/>
      <c r="X163" s="2147" t="str">
        <f t="shared" si="20"/>
        <v>X</v>
      </c>
      <c r="Y163" s="2147"/>
      <c r="Z163" s="2147"/>
      <c r="AA163" s="1976"/>
      <c r="AB163" s="1976"/>
      <c r="AC163" s="1976"/>
      <c r="AD163" s="1976"/>
      <c r="AE163" s="1976"/>
      <c r="AF163" s="1977"/>
      <c r="AJ163" s="295"/>
      <c r="AK163" s="827"/>
      <c r="AL163" s="827"/>
      <c r="AM163" s="827"/>
      <c r="AN163" s="827"/>
      <c r="AO163" s="827"/>
      <c r="AP163" s="827"/>
      <c r="AQ163" s="827"/>
      <c r="AR163" s="827"/>
      <c r="AS163" s="827"/>
      <c r="AT163" s="827"/>
      <c r="AU163" s="827"/>
      <c r="AV163" s="827"/>
      <c r="AW163" s="827"/>
      <c r="AX163" s="827"/>
      <c r="AY163" s="827"/>
      <c r="AZ163" s="827"/>
      <c r="BA163" s="827"/>
      <c r="BB163" s="827"/>
      <c r="BC163" s="827"/>
      <c r="BD163" s="827"/>
      <c r="BE163" s="827"/>
      <c r="BF163" s="827"/>
      <c r="BG163" s="827"/>
      <c r="BH163" s="827"/>
      <c r="BI163" s="827"/>
      <c r="BJ163" s="827"/>
      <c r="BK163" s="827"/>
      <c r="BL163" s="827"/>
      <c r="BM163" s="827"/>
      <c r="BN163" s="827"/>
      <c r="BO163" s="827"/>
      <c r="BQ163" s="333" t="str">
        <f t="shared" si="18"/>
        <v/>
      </c>
      <c r="BU163" s="2146"/>
    </row>
    <row r="164" spans="2:73" ht="15" customHeight="1">
      <c r="B164" s="1979"/>
      <c r="C164" s="1987"/>
      <c r="D164" s="1987"/>
      <c r="E164" s="2219" t="str">
        <f t="shared" si="21"/>
        <v/>
      </c>
      <c r="F164" s="2219"/>
      <c r="G164" s="2219"/>
      <c r="H164" s="2219"/>
      <c r="I164" s="2219"/>
      <c r="J164" s="2219"/>
      <c r="K164" s="2219"/>
      <c r="L164" s="2219"/>
      <c r="M164" s="2219"/>
      <c r="N164" s="2219"/>
      <c r="O164" s="2219"/>
      <c r="P164" s="2220"/>
      <c r="Q164" s="2220"/>
      <c r="R164" s="2220"/>
      <c r="S164" s="2220"/>
      <c r="T164" s="2221" t="str">
        <f>BQ164</f>
        <v/>
      </c>
      <c r="U164" s="2221"/>
      <c r="V164" s="2221"/>
      <c r="W164" s="2221"/>
      <c r="X164" s="2147" t="str">
        <f t="shared" si="20"/>
        <v>X</v>
      </c>
      <c r="Y164" s="2147"/>
      <c r="Z164" s="2147"/>
      <c r="AA164" s="1976"/>
      <c r="AB164" s="1976"/>
      <c r="AC164" s="1976"/>
      <c r="AD164" s="1976"/>
      <c r="AE164" s="1976"/>
      <c r="AF164" s="1977"/>
      <c r="AJ164" s="295"/>
      <c r="AK164" s="827"/>
      <c r="AL164" s="827"/>
      <c r="AM164" s="827"/>
      <c r="AN164" s="827"/>
      <c r="AO164" s="827"/>
      <c r="AP164" s="827"/>
      <c r="AQ164" s="827"/>
      <c r="AR164" s="827"/>
      <c r="AS164" s="827"/>
      <c r="AT164" s="827"/>
      <c r="AU164" s="827"/>
      <c r="AV164" s="827"/>
      <c r="AW164" s="827"/>
      <c r="AX164" s="827"/>
      <c r="AY164" s="827"/>
      <c r="AZ164" s="827"/>
      <c r="BA164" s="827"/>
      <c r="BB164" s="827"/>
      <c r="BC164" s="827"/>
      <c r="BD164" s="827"/>
      <c r="BE164" s="827"/>
      <c r="BF164" s="827"/>
      <c r="BG164" s="827"/>
      <c r="BH164" s="827"/>
      <c r="BI164" s="827"/>
      <c r="BJ164" s="827"/>
      <c r="BK164" s="827"/>
      <c r="BL164" s="827"/>
      <c r="BM164" s="827"/>
      <c r="BN164" s="827"/>
      <c r="BO164" s="827"/>
      <c r="BQ164" s="333" t="str">
        <f t="shared" si="18"/>
        <v/>
      </c>
      <c r="BU164" s="2146"/>
    </row>
    <row r="165" spans="2:73" ht="15" customHeight="1">
      <c r="B165" s="1979"/>
      <c r="C165" s="1987"/>
      <c r="D165" s="1987"/>
      <c r="E165" s="2219" t="str">
        <f t="shared" si="21"/>
        <v/>
      </c>
      <c r="F165" s="2219"/>
      <c r="G165" s="2219"/>
      <c r="H165" s="2219"/>
      <c r="I165" s="2219"/>
      <c r="J165" s="2219"/>
      <c r="K165" s="2219"/>
      <c r="L165" s="2219"/>
      <c r="M165" s="2219"/>
      <c r="N165" s="2219"/>
      <c r="O165" s="2219"/>
      <c r="P165" s="2220"/>
      <c r="Q165" s="2220"/>
      <c r="R165" s="2220"/>
      <c r="S165" s="2220"/>
      <c r="T165" s="2221" t="str">
        <f>BQ165</f>
        <v/>
      </c>
      <c r="U165" s="2221"/>
      <c r="V165" s="2221"/>
      <c r="W165" s="2221"/>
      <c r="X165" s="2147" t="str">
        <f t="shared" si="20"/>
        <v>X</v>
      </c>
      <c r="Y165" s="2147"/>
      <c r="Z165" s="2147"/>
      <c r="AA165" s="1976"/>
      <c r="AB165" s="1976"/>
      <c r="AC165" s="1976"/>
      <c r="AD165" s="1976"/>
      <c r="AE165" s="1976"/>
      <c r="AF165" s="1977"/>
      <c r="AJ165" s="295"/>
      <c r="AK165" s="827"/>
      <c r="AL165" s="827"/>
      <c r="AM165" s="827"/>
      <c r="AN165" s="827"/>
      <c r="AO165" s="827"/>
      <c r="AP165" s="827"/>
      <c r="AQ165" s="827"/>
      <c r="AR165" s="827"/>
      <c r="AS165" s="827"/>
      <c r="AT165" s="827"/>
      <c r="AU165" s="827"/>
      <c r="AV165" s="827"/>
      <c r="AW165" s="827"/>
      <c r="AX165" s="827"/>
      <c r="AY165" s="827"/>
      <c r="AZ165" s="827"/>
      <c r="BA165" s="827"/>
      <c r="BB165" s="827"/>
      <c r="BC165" s="827"/>
      <c r="BD165" s="827"/>
      <c r="BE165" s="827"/>
      <c r="BF165" s="827"/>
      <c r="BG165" s="827"/>
      <c r="BH165" s="827"/>
      <c r="BI165" s="827"/>
      <c r="BJ165" s="827"/>
      <c r="BK165" s="827"/>
      <c r="BL165" s="827"/>
      <c r="BM165" s="827"/>
      <c r="BN165" s="827"/>
      <c r="BO165" s="827"/>
      <c r="BQ165" s="333" t="str">
        <f t="shared" si="18"/>
        <v/>
      </c>
      <c r="BU165" s="2146"/>
    </row>
    <row r="166" spans="2:73" ht="15" customHeight="1">
      <c r="B166" s="1979"/>
      <c r="C166" s="1987"/>
      <c r="D166" s="1987"/>
      <c r="E166" s="2219" t="str">
        <f t="shared" si="21"/>
        <v/>
      </c>
      <c r="F166" s="2219"/>
      <c r="G166" s="2219"/>
      <c r="H166" s="2219"/>
      <c r="I166" s="2219"/>
      <c r="J166" s="2219"/>
      <c r="K166" s="2219"/>
      <c r="L166" s="2219"/>
      <c r="M166" s="2219"/>
      <c r="N166" s="2219"/>
      <c r="O166" s="2219"/>
      <c r="P166" s="2220"/>
      <c r="Q166" s="2220"/>
      <c r="R166" s="2220"/>
      <c r="S166" s="2220"/>
      <c r="T166" s="2221" t="str">
        <f>BQ166</f>
        <v/>
      </c>
      <c r="U166" s="2221"/>
      <c r="V166" s="2221"/>
      <c r="W166" s="2221"/>
      <c r="X166" s="2147" t="str">
        <f t="shared" si="20"/>
        <v>X</v>
      </c>
      <c r="Y166" s="2147"/>
      <c r="Z166" s="2147"/>
      <c r="AA166" s="1976"/>
      <c r="AB166" s="1976"/>
      <c r="AC166" s="1976"/>
      <c r="AD166" s="1976"/>
      <c r="AE166" s="1976"/>
      <c r="AF166" s="1977"/>
      <c r="AJ166" s="295"/>
      <c r="AK166" s="827"/>
      <c r="AL166" s="827"/>
      <c r="AM166" s="827"/>
      <c r="AN166" s="827"/>
      <c r="AO166" s="827"/>
      <c r="AP166" s="827"/>
      <c r="AQ166" s="827"/>
      <c r="AR166" s="827"/>
      <c r="AS166" s="827"/>
      <c r="AT166" s="827"/>
      <c r="AU166" s="827"/>
      <c r="AV166" s="827"/>
      <c r="AW166" s="827"/>
      <c r="AX166" s="827"/>
      <c r="AY166" s="827"/>
      <c r="AZ166" s="827"/>
      <c r="BA166" s="827"/>
      <c r="BB166" s="827"/>
      <c r="BC166" s="827"/>
      <c r="BD166" s="827"/>
      <c r="BE166" s="827"/>
      <c r="BF166" s="827"/>
      <c r="BG166" s="827"/>
      <c r="BH166" s="827"/>
      <c r="BI166" s="827"/>
      <c r="BJ166" s="827"/>
      <c r="BK166" s="827"/>
      <c r="BL166" s="827"/>
      <c r="BM166" s="827"/>
      <c r="BN166" s="827"/>
      <c r="BO166" s="827"/>
      <c r="BQ166" s="333" t="str">
        <f t="shared" si="18"/>
        <v/>
      </c>
      <c r="BU166" s="2146"/>
    </row>
    <row r="167" spans="2:73" ht="15" customHeight="1">
      <c r="B167" s="1979"/>
      <c r="C167" s="1987"/>
      <c r="D167" s="1987"/>
      <c r="E167" s="2219" t="str">
        <f t="shared" si="21"/>
        <v/>
      </c>
      <c r="F167" s="2219"/>
      <c r="G167" s="2219"/>
      <c r="H167" s="2219"/>
      <c r="I167" s="2219"/>
      <c r="J167" s="2219"/>
      <c r="K167" s="2219"/>
      <c r="L167" s="2219"/>
      <c r="M167" s="2219"/>
      <c r="N167" s="2219"/>
      <c r="O167" s="2219"/>
      <c r="P167" s="2220"/>
      <c r="Q167" s="2220"/>
      <c r="R167" s="2220"/>
      <c r="S167" s="2220"/>
      <c r="T167" s="2221" t="str">
        <f>BQ167</f>
        <v/>
      </c>
      <c r="U167" s="2221"/>
      <c r="V167" s="2221"/>
      <c r="W167" s="2221"/>
      <c r="X167" s="2147" t="str">
        <f t="shared" si="20"/>
        <v>X</v>
      </c>
      <c r="Y167" s="2147"/>
      <c r="Z167" s="2147"/>
      <c r="AA167" s="1976"/>
      <c r="AB167" s="1976"/>
      <c r="AC167" s="1976"/>
      <c r="AD167" s="1976"/>
      <c r="AE167" s="1976"/>
      <c r="AF167" s="1977"/>
      <c r="AJ167" s="295"/>
      <c r="AK167" s="827"/>
      <c r="AL167" s="827"/>
      <c r="AM167" s="827"/>
      <c r="AN167" s="827"/>
      <c r="AO167" s="827"/>
      <c r="AP167" s="827"/>
      <c r="AQ167" s="827"/>
      <c r="AR167" s="827"/>
      <c r="AS167" s="827"/>
      <c r="AT167" s="827"/>
      <c r="AU167" s="827"/>
      <c r="AV167" s="827"/>
      <c r="AW167" s="827"/>
      <c r="AX167" s="827"/>
      <c r="AY167" s="827"/>
      <c r="AZ167" s="827"/>
      <c r="BA167" s="827"/>
      <c r="BB167" s="827"/>
      <c r="BC167" s="827"/>
      <c r="BD167" s="827"/>
      <c r="BE167" s="827"/>
      <c r="BF167" s="827"/>
      <c r="BG167" s="827"/>
      <c r="BH167" s="827"/>
      <c r="BI167" s="827"/>
      <c r="BJ167" s="827"/>
      <c r="BK167" s="827"/>
      <c r="BL167" s="827"/>
      <c r="BM167" s="827"/>
      <c r="BN167" s="827"/>
      <c r="BO167" s="827"/>
      <c r="BQ167" s="333" t="str">
        <f t="shared" si="18"/>
        <v/>
      </c>
      <c r="BU167" s="2146"/>
    </row>
    <row r="168" spans="2:73" ht="15" customHeight="1">
      <c r="B168" s="1979"/>
      <c r="C168" s="1987"/>
      <c r="D168" s="1987"/>
      <c r="E168" s="2219" t="str">
        <f t="shared" si="21"/>
        <v/>
      </c>
      <c r="F168" s="2219"/>
      <c r="G168" s="2219"/>
      <c r="H168" s="2219"/>
      <c r="I168" s="2219"/>
      <c r="J168" s="2219"/>
      <c r="K168" s="2219"/>
      <c r="L168" s="2219"/>
      <c r="M168" s="2219"/>
      <c r="N168" s="2219"/>
      <c r="O168" s="2219"/>
      <c r="P168" s="2220"/>
      <c r="Q168" s="2220"/>
      <c r="R168" s="2220"/>
      <c r="S168" s="2220"/>
      <c r="T168" s="2221" t="str">
        <f>BQ168</f>
        <v/>
      </c>
      <c r="U168" s="2221"/>
      <c r="V168" s="2221"/>
      <c r="W168" s="2221"/>
      <c r="X168" s="2147" t="str">
        <f t="shared" si="20"/>
        <v>X</v>
      </c>
      <c r="Y168" s="2147"/>
      <c r="Z168" s="2147"/>
      <c r="AA168" s="1976"/>
      <c r="AB168" s="1976"/>
      <c r="AC168" s="1976"/>
      <c r="AD168" s="1976"/>
      <c r="AE168" s="1976"/>
      <c r="AF168" s="1977"/>
      <c r="AJ168" s="295"/>
      <c r="AK168" s="827"/>
      <c r="AL168" s="827"/>
      <c r="AM168" s="827"/>
      <c r="AN168" s="827"/>
      <c r="AO168" s="827"/>
      <c r="AP168" s="827"/>
      <c r="AQ168" s="827"/>
      <c r="AR168" s="827"/>
      <c r="AS168" s="827"/>
      <c r="AT168" s="827"/>
      <c r="AU168" s="827"/>
      <c r="AV168" s="827"/>
      <c r="AW168" s="827"/>
      <c r="AX168" s="827"/>
      <c r="AY168" s="827"/>
      <c r="AZ168" s="827"/>
      <c r="BA168" s="827"/>
      <c r="BB168" s="827"/>
      <c r="BC168" s="827"/>
      <c r="BD168" s="827"/>
      <c r="BE168" s="827"/>
      <c r="BF168" s="827"/>
      <c r="BG168" s="827"/>
      <c r="BH168" s="827"/>
      <c r="BI168" s="827"/>
      <c r="BJ168" s="827"/>
      <c r="BK168" s="827"/>
      <c r="BL168" s="827"/>
      <c r="BM168" s="827"/>
      <c r="BN168" s="827"/>
      <c r="BO168" s="827"/>
      <c r="BQ168" s="333" t="str">
        <f t="shared" si="18"/>
        <v/>
      </c>
      <c r="BU168" s="305"/>
    </row>
    <row r="169" spans="2:73" ht="15" customHeight="1">
      <c r="B169" s="5"/>
      <c r="C169" s="5"/>
      <c r="D169" s="5"/>
      <c r="E169" s="5"/>
      <c r="F169" s="5"/>
      <c r="G169" s="5"/>
      <c r="H169" s="5"/>
      <c r="I169" s="5"/>
      <c r="J169" s="5"/>
      <c r="K169" s="5"/>
      <c r="L169" s="5"/>
      <c r="M169" s="5"/>
      <c r="N169" s="5"/>
      <c r="O169" s="5"/>
      <c r="P169" s="5"/>
      <c r="Q169" s="5"/>
      <c r="R169" s="5"/>
      <c r="S169" s="5"/>
      <c r="T169" s="1256"/>
      <c r="U169" s="1256"/>
      <c r="V169" s="1256"/>
      <c r="W169" s="1256"/>
      <c r="X169" s="1256"/>
      <c r="Y169" s="1256"/>
      <c r="Z169" s="1256"/>
      <c r="AA169" s="5"/>
      <c r="AB169" s="5"/>
      <c r="AC169" s="5"/>
      <c r="AD169" s="5"/>
      <c r="AE169" s="5"/>
      <c r="AF169" s="5"/>
      <c r="AJ169" s="4" t="s">
        <v>76</v>
      </c>
      <c r="AK169" s="829">
        <f t="shared" ref="AK169:BN169" si="25">SUM(AK153:AK168)</f>
        <v>4</v>
      </c>
      <c r="AL169" s="829">
        <f t="shared" si="25"/>
        <v>4</v>
      </c>
      <c r="AM169" s="829">
        <f t="shared" si="25"/>
        <v>0</v>
      </c>
      <c r="AN169" s="829">
        <f t="shared" si="25"/>
        <v>0</v>
      </c>
      <c r="AO169" s="829">
        <f t="shared" si="25"/>
        <v>4</v>
      </c>
      <c r="AP169" s="829">
        <f t="shared" si="25"/>
        <v>4</v>
      </c>
      <c r="AQ169" s="829">
        <f t="shared" si="25"/>
        <v>4</v>
      </c>
      <c r="AR169" s="829">
        <f t="shared" si="25"/>
        <v>0</v>
      </c>
      <c r="AS169" s="829">
        <f t="shared" si="25"/>
        <v>0</v>
      </c>
      <c r="AT169" s="829">
        <f t="shared" si="25"/>
        <v>0</v>
      </c>
      <c r="AU169" s="829">
        <f t="shared" si="25"/>
        <v>0</v>
      </c>
      <c r="AV169" s="829">
        <f t="shared" si="25"/>
        <v>4</v>
      </c>
      <c r="AW169" s="829">
        <f t="shared" si="25"/>
        <v>4</v>
      </c>
      <c r="AX169" s="829">
        <f t="shared" si="25"/>
        <v>4</v>
      </c>
      <c r="AY169" s="829">
        <f t="shared" si="25"/>
        <v>4</v>
      </c>
      <c r="AZ169" s="829">
        <f t="shared" si="25"/>
        <v>4</v>
      </c>
      <c r="BA169" s="829">
        <f t="shared" si="25"/>
        <v>0</v>
      </c>
      <c r="BB169" s="829">
        <f t="shared" si="25"/>
        <v>0</v>
      </c>
      <c r="BC169" s="829">
        <f t="shared" si="25"/>
        <v>4</v>
      </c>
      <c r="BD169" s="829">
        <f t="shared" si="25"/>
        <v>4</v>
      </c>
      <c r="BE169" s="829">
        <f t="shared" si="25"/>
        <v>4</v>
      </c>
      <c r="BF169" s="829">
        <f t="shared" si="25"/>
        <v>4</v>
      </c>
      <c r="BG169" s="829">
        <f t="shared" si="25"/>
        <v>4</v>
      </c>
      <c r="BH169" s="829">
        <f t="shared" si="25"/>
        <v>0</v>
      </c>
      <c r="BI169" s="829">
        <f t="shared" si="25"/>
        <v>0</v>
      </c>
      <c r="BJ169" s="829">
        <f t="shared" si="25"/>
        <v>4</v>
      </c>
      <c r="BK169" s="829">
        <f t="shared" si="25"/>
        <v>4</v>
      </c>
      <c r="BL169" s="829">
        <f t="shared" si="25"/>
        <v>0</v>
      </c>
      <c r="BM169" s="829">
        <f t="shared" si="25"/>
        <v>0</v>
      </c>
      <c r="BN169" s="829">
        <f t="shared" si="25"/>
        <v>0</v>
      </c>
      <c r="BO169" s="829"/>
    </row>
    <row r="170" spans="2:73" ht="15" customHeight="1">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row>
    <row r="171" spans="2:73" ht="15" customHeight="1">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row>
    <row r="172" spans="2:73" ht="15" customHeight="1">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row>
    <row r="173" spans="2:73" ht="15" customHeight="1">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row>
    <row r="174" spans="2:73" ht="15" customHeight="1">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row>
    <row r="175" spans="2:73" ht="15" customHeight="1">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row>
    <row r="176" spans="2:73" ht="15" customHeight="1">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row>
    <row r="177" spans="2:32" ht="15" customHeight="1">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row>
    <row r="178" spans="2:32" ht="15" customHeight="1">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row>
    <row r="179" spans="2:32" ht="15" customHeight="1">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row>
    <row r="180" spans="2:32" ht="15" customHeight="1">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row>
    <row r="181" spans="2:32" ht="15" customHeight="1">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row>
    <row r="182" spans="2:32" ht="15" customHeight="1">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row>
    <row r="183" spans="2:32" ht="15" customHeight="1">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row>
    <row r="184" spans="2:32" ht="15" customHeight="1">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row>
    <row r="185" spans="2:32" ht="15" customHeight="1">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row>
    <row r="186" spans="2:32" ht="15" customHeight="1">
      <c r="B186" s="566"/>
      <c r="C186" s="566"/>
      <c r="D186" s="566"/>
      <c r="E186" s="567"/>
      <c r="F186" s="567"/>
      <c r="G186" s="567"/>
      <c r="H186" s="567"/>
      <c r="I186" s="567"/>
      <c r="J186" s="567"/>
      <c r="K186" s="567"/>
      <c r="L186" s="567"/>
      <c r="M186" s="567"/>
      <c r="N186" s="567"/>
      <c r="O186" s="567"/>
      <c r="P186" s="5"/>
      <c r="Q186" s="5"/>
      <c r="R186" s="5"/>
      <c r="S186" s="5"/>
      <c r="T186" s="6"/>
      <c r="U186" s="6"/>
      <c r="V186" s="6"/>
      <c r="W186" s="6"/>
      <c r="X186" s="6"/>
      <c r="Y186" s="6"/>
      <c r="Z186" s="6"/>
      <c r="AA186" s="6"/>
      <c r="AB186" s="6"/>
      <c r="AC186" s="6"/>
      <c r="AD186" s="6"/>
      <c r="AE186" s="6"/>
      <c r="AF186" s="6"/>
    </row>
    <row r="187" spans="2:32" ht="15" customHeight="1">
      <c r="B187" s="566"/>
      <c r="C187" s="566"/>
      <c r="D187" s="566"/>
      <c r="E187" s="567"/>
      <c r="F187" s="567"/>
      <c r="G187" s="567"/>
      <c r="H187" s="567"/>
      <c r="I187" s="567"/>
      <c r="J187" s="567"/>
      <c r="K187" s="567"/>
      <c r="L187" s="567"/>
      <c r="M187" s="567"/>
      <c r="N187" s="567"/>
      <c r="O187" s="567"/>
      <c r="P187" s="5"/>
      <c r="Q187" s="5"/>
      <c r="R187" s="5"/>
      <c r="S187" s="5"/>
      <c r="T187" s="6"/>
      <c r="U187" s="6"/>
      <c r="V187" s="6"/>
      <c r="W187" s="6"/>
      <c r="X187" s="6"/>
      <c r="Y187" s="6"/>
      <c r="Z187" s="6"/>
      <c r="AA187" s="6"/>
      <c r="AB187" s="6"/>
      <c r="AC187" s="6"/>
      <c r="AD187" s="6"/>
      <c r="AE187" s="6"/>
      <c r="AF187" s="6"/>
    </row>
    <row r="188" spans="2:32" ht="15" customHeight="1">
      <c r="B188" s="566"/>
      <c r="C188" s="566"/>
      <c r="D188" s="566"/>
      <c r="E188" s="567"/>
      <c r="F188" s="567"/>
      <c r="G188" s="567"/>
      <c r="H188" s="567"/>
      <c r="I188" s="567"/>
      <c r="J188" s="567"/>
      <c r="K188" s="567"/>
      <c r="L188" s="567"/>
      <c r="M188" s="567"/>
      <c r="N188" s="567"/>
      <c r="O188" s="567"/>
      <c r="P188" s="5"/>
      <c r="Q188" s="5"/>
      <c r="R188" s="5"/>
      <c r="S188" s="5"/>
      <c r="T188" s="6"/>
      <c r="U188" s="6"/>
      <c r="V188" s="6"/>
      <c r="W188" s="6"/>
      <c r="X188" s="6"/>
      <c r="Y188" s="6"/>
      <c r="Z188" s="6"/>
      <c r="AA188" s="6"/>
      <c r="AB188" s="6"/>
      <c r="AC188" s="6"/>
      <c r="AD188" s="6"/>
      <c r="AE188" s="6"/>
      <c r="AF188" s="6"/>
    </row>
    <row r="189" spans="2:32" ht="15" customHeight="1">
      <c r="B189" s="566"/>
      <c r="C189" s="566"/>
      <c r="D189" s="566"/>
      <c r="E189" s="567"/>
      <c r="F189" s="567"/>
      <c r="G189" s="567"/>
      <c r="H189" s="567"/>
      <c r="I189" s="567"/>
      <c r="J189" s="567"/>
      <c r="K189" s="567"/>
      <c r="L189" s="567"/>
      <c r="M189" s="567"/>
      <c r="N189" s="567"/>
      <c r="O189" s="567"/>
      <c r="P189" s="5"/>
      <c r="Q189" s="5"/>
      <c r="R189" s="5"/>
      <c r="S189" s="5"/>
      <c r="T189" s="6"/>
      <c r="U189" s="6"/>
      <c r="V189" s="6"/>
      <c r="W189" s="6"/>
      <c r="X189" s="6"/>
      <c r="Y189" s="6"/>
      <c r="Z189" s="6"/>
      <c r="AA189" s="6"/>
      <c r="AB189" s="6"/>
      <c r="AC189" s="6"/>
      <c r="AD189" s="6"/>
      <c r="AE189" s="6"/>
      <c r="AF189" s="6"/>
    </row>
    <row r="190" spans="2:32" ht="15" customHeight="1">
      <c r="B190" s="566"/>
      <c r="C190" s="566"/>
      <c r="D190" s="566"/>
      <c r="E190" s="567"/>
      <c r="F190" s="567"/>
      <c r="G190" s="567"/>
      <c r="H190" s="567"/>
      <c r="I190" s="567"/>
      <c r="J190" s="567"/>
      <c r="K190" s="567"/>
      <c r="L190" s="567"/>
      <c r="M190" s="567"/>
      <c r="N190" s="567"/>
      <c r="O190" s="567"/>
      <c r="P190" s="5"/>
      <c r="Q190" s="5"/>
      <c r="R190" s="5"/>
      <c r="S190" s="5"/>
      <c r="T190" s="6"/>
      <c r="U190" s="6"/>
      <c r="V190" s="6"/>
      <c r="W190" s="6"/>
      <c r="X190" s="6"/>
      <c r="Y190" s="6"/>
      <c r="Z190" s="6"/>
      <c r="AA190" s="6"/>
      <c r="AB190" s="6"/>
      <c r="AC190" s="6"/>
      <c r="AD190" s="6"/>
      <c r="AE190" s="6"/>
      <c r="AF190" s="6"/>
    </row>
    <row r="191" spans="2:32" ht="15" customHeight="1">
      <c r="B191" s="566"/>
      <c r="C191" s="566"/>
      <c r="D191" s="566"/>
      <c r="E191" s="567"/>
      <c r="F191" s="567"/>
      <c r="G191" s="567"/>
      <c r="H191" s="567"/>
      <c r="I191" s="567"/>
      <c r="J191" s="567"/>
      <c r="K191" s="567"/>
      <c r="L191" s="567"/>
      <c r="M191" s="567"/>
      <c r="N191" s="567"/>
      <c r="O191" s="567"/>
      <c r="P191" s="5"/>
      <c r="Q191" s="5"/>
      <c r="R191" s="5"/>
      <c r="S191" s="5"/>
      <c r="T191" s="6"/>
      <c r="U191" s="6"/>
      <c r="V191" s="6"/>
      <c r="W191" s="6"/>
      <c r="X191" s="6"/>
      <c r="Y191" s="6"/>
      <c r="Z191" s="6"/>
      <c r="AA191" s="6"/>
      <c r="AB191" s="6"/>
      <c r="AC191" s="6"/>
      <c r="AD191" s="6"/>
      <c r="AE191" s="6"/>
      <c r="AF191" s="6"/>
    </row>
    <row r="192" spans="2:32" ht="15" customHeight="1">
      <c r="B192" s="566"/>
      <c r="C192" s="566"/>
      <c r="D192" s="566"/>
      <c r="E192" s="567"/>
      <c r="F192" s="567"/>
      <c r="G192" s="567"/>
      <c r="H192" s="567"/>
      <c r="I192" s="567"/>
      <c r="J192" s="567"/>
      <c r="K192" s="567"/>
      <c r="L192" s="567"/>
      <c r="M192" s="567"/>
      <c r="N192" s="567"/>
      <c r="O192" s="567"/>
      <c r="P192" s="5"/>
      <c r="Q192" s="5"/>
      <c r="R192" s="5"/>
      <c r="S192" s="5"/>
      <c r="T192" s="6"/>
      <c r="U192" s="6"/>
      <c r="V192" s="6"/>
      <c r="W192" s="6"/>
      <c r="X192" s="6"/>
      <c r="Y192" s="6"/>
      <c r="Z192" s="6"/>
      <c r="AA192" s="6"/>
      <c r="AB192" s="6"/>
      <c r="AC192" s="6"/>
      <c r="AD192" s="6"/>
      <c r="AE192" s="6"/>
      <c r="AF192" s="6"/>
    </row>
    <row r="193" spans="2:32" ht="15" customHeight="1">
      <c r="B193" s="566"/>
      <c r="C193" s="566"/>
      <c r="D193" s="566"/>
      <c r="E193" s="567"/>
      <c r="F193" s="567"/>
      <c r="G193" s="567"/>
      <c r="H193" s="567"/>
      <c r="I193" s="567"/>
      <c r="J193" s="567"/>
      <c r="K193" s="567"/>
      <c r="L193" s="567"/>
      <c r="M193" s="567"/>
      <c r="N193" s="567"/>
      <c r="O193" s="567"/>
      <c r="P193" s="5"/>
      <c r="Q193" s="5"/>
      <c r="R193" s="5"/>
      <c r="S193" s="5"/>
      <c r="T193" s="6"/>
      <c r="U193" s="6"/>
      <c r="V193" s="6"/>
      <c r="W193" s="6"/>
      <c r="X193" s="6"/>
      <c r="Y193" s="6"/>
      <c r="Z193" s="6"/>
      <c r="AA193" s="6"/>
      <c r="AB193" s="6"/>
      <c r="AC193" s="6"/>
      <c r="AD193" s="6"/>
      <c r="AE193" s="6"/>
      <c r="AF193" s="6"/>
    </row>
    <row r="194" spans="2:32" ht="15" customHeight="1">
      <c r="B194" s="566"/>
      <c r="C194" s="566"/>
      <c r="D194" s="566"/>
      <c r="E194" s="567"/>
      <c r="F194" s="567"/>
      <c r="G194" s="567"/>
      <c r="H194" s="567"/>
      <c r="I194" s="567"/>
      <c r="J194" s="567"/>
      <c r="K194" s="567"/>
      <c r="L194" s="567"/>
      <c r="M194" s="567"/>
      <c r="N194" s="567"/>
      <c r="O194" s="567"/>
      <c r="P194" s="5"/>
      <c r="Q194" s="5"/>
      <c r="R194" s="5"/>
      <c r="S194" s="5"/>
      <c r="T194" s="6"/>
      <c r="U194" s="6"/>
      <c r="V194" s="6"/>
      <c r="W194" s="6"/>
      <c r="X194" s="6"/>
      <c r="Y194" s="6"/>
      <c r="Z194" s="6"/>
      <c r="AA194" s="6"/>
      <c r="AB194" s="6"/>
      <c r="AC194" s="6"/>
      <c r="AD194" s="6"/>
      <c r="AE194" s="6"/>
      <c r="AF194" s="6"/>
    </row>
    <row r="195" spans="2:32" ht="15" customHeight="1">
      <c r="B195" s="566"/>
      <c r="C195" s="566"/>
      <c r="D195" s="566"/>
      <c r="E195" s="567"/>
      <c r="F195" s="567"/>
      <c r="G195" s="567"/>
      <c r="H195" s="567"/>
      <c r="I195" s="567"/>
      <c r="J195" s="567"/>
      <c r="K195" s="567"/>
      <c r="L195" s="567"/>
      <c r="M195" s="567"/>
      <c r="N195" s="567"/>
      <c r="O195" s="567"/>
      <c r="P195" s="5"/>
      <c r="Q195" s="5"/>
      <c r="R195" s="5"/>
      <c r="S195" s="5"/>
      <c r="T195" s="6"/>
      <c r="U195" s="6"/>
      <c r="V195" s="6"/>
      <c r="W195" s="6"/>
      <c r="X195" s="6"/>
      <c r="Y195" s="6"/>
      <c r="Z195" s="6"/>
      <c r="AA195" s="6"/>
      <c r="AB195" s="6"/>
      <c r="AC195" s="6"/>
      <c r="AD195" s="6"/>
      <c r="AE195" s="6"/>
      <c r="AF195" s="6"/>
    </row>
    <row r="196" spans="2:32" ht="15" customHeight="1">
      <c r="B196" s="566"/>
      <c r="C196" s="566"/>
      <c r="D196" s="566"/>
      <c r="E196" s="567"/>
      <c r="F196" s="567"/>
      <c r="G196" s="567"/>
      <c r="H196" s="567"/>
      <c r="I196" s="567"/>
      <c r="J196" s="567"/>
      <c r="K196" s="567"/>
      <c r="L196" s="567"/>
      <c r="M196" s="567"/>
      <c r="N196" s="567"/>
      <c r="O196" s="567"/>
      <c r="P196" s="5"/>
      <c r="Q196" s="5"/>
      <c r="R196" s="5"/>
      <c r="S196" s="5"/>
      <c r="T196" s="6"/>
      <c r="U196" s="6"/>
      <c r="V196" s="6"/>
      <c r="W196" s="6"/>
      <c r="X196" s="6"/>
      <c r="Y196" s="6"/>
      <c r="Z196" s="6"/>
      <c r="AA196" s="6"/>
      <c r="AB196" s="6"/>
      <c r="AC196" s="6"/>
      <c r="AD196" s="6"/>
      <c r="AE196" s="6"/>
      <c r="AF196" s="6"/>
    </row>
    <row r="197" spans="2:32" ht="15" customHeight="1">
      <c r="B197" s="566"/>
      <c r="C197" s="566"/>
      <c r="D197" s="566"/>
      <c r="E197" s="567"/>
      <c r="F197" s="567"/>
      <c r="G197" s="567"/>
      <c r="H197" s="567"/>
      <c r="I197" s="567"/>
      <c r="J197" s="567"/>
      <c r="K197" s="567"/>
      <c r="L197" s="567"/>
      <c r="M197" s="567"/>
      <c r="N197" s="567"/>
      <c r="O197" s="567"/>
      <c r="P197" s="5"/>
      <c r="Q197" s="5"/>
      <c r="R197" s="5"/>
      <c r="S197" s="5"/>
      <c r="T197" s="6"/>
      <c r="U197" s="6"/>
      <c r="V197" s="6"/>
      <c r="W197" s="6"/>
      <c r="X197" s="6"/>
      <c r="Y197" s="6"/>
      <c r="Z197" s="6"/>
      <c r="AA197" s="6"/>
      <c r="AB197" s="6"/>
      <c r="AC197" s="6"/>
      <c r="AD197" s="6"/>
      <c r="AE197" s="6"/>
      <c r="AF197" s="6"/>
    </row>
    <row r="198" spans="2:32" ht="15" customHeight="1">
      <c r="B198" s="566"/>
      <c r="C198" s="566"/>
      <c r="D198" s="566"/>
      <c r="E198" s="567"/>
      <c r="F198" s="567"/>
      <c r="G198" s="567"/>
      <c r="H198" s="567"/>
      <c r="I198" s="567"/>
      <c r="J198" s="567"/>
      <c r="K198" s="567"/>
      <c r="L198" s="567"/>
      <c r="M198" s="567"/>
      <c r="N198" s="567"/>
      <c r="O198" s="567"/>
      <c r="P198" s="5"/>
      <c r="Q198" s="5"/>
      <c r="R198" s="5"/>
      <c r="S198" s="5"/>
      <c r="T198" s="6"/>
      <c r="U198" s="6"/>
      <c r="V198" s="6"/>
      <c r="W198" s="6"/>
      <c r="X198" s="6"/>
      <c r="Y198" s="6"/>
      <c r="Z198" s="6"/>
      <c r="AA198" s="6"/>
      <c r="AB198" s="6"/>
      <c r="AC198" s="6"/>
      <c r="AD198" s="6"/>
      <c r="AE198" s="6"/>
      <c r="AF198" s="6"/>
    </row>
    <row r="199" spans="2:32" ht="15" customHeight="1">
      <c r="B199" s="566"/>
      <c r="C199" s="566"/>
      <c r="D199" s="566"/>
      <c r="E199" s="567"/>
      <c r="F199" s="567"/>
      <c r="G199" s="567"/>
      <c r="H199" s="567"/>
      <c r="I199" s="567"/>
      <c r="J199" s="567"/>
      <c r="K199" s="567"/>
      <c r="L199" s="567"/>
      <c r="M199" s="567"/>
      <c r="N199" s="567"/>
      <c r="O199" s="567"/>
      <c r="P199" s="5"/>
      <c r="Q199" s="5"/>
      <c r="R199" s="5"/>
      <c r="S199" s="5"/>
      <c r="T199" s="6"/>
      <c r="U199" s="6"/>
      <c r="V199" s="6"/>
      <c r="W199" s="6"/>
      <c r="X199" s="6"/>
      <c r="Y199" s="6"/>
      <c r="Z199" s="6"/>
      <c r="AA199" s="6"/>
      <c r="AB199" s="6"/>
      <c r="AC199" s="6"/>
      <c r="AD199" s="6"/>
      <c r="AE199" s="6"/>
      <c r="AF199" s="6"/>
    </row>
    <row r="200" spans="2:32" ht="15" customHeight="1">
      <c r="B200" s="566"/>
      <c r="C200" s="566"/>
      <c r="D200" s="566"/>
      <c r="E200" s="567"/>
      <c r="F200" s="567"/>
      <c r="G200" s="567"/>
      <c r="H200" s="567"/>
      <c r="I200" s="567"/>
      <c r="J200" s="567"/>
      <c r="K200" s="567"/>
      <c r="L200" s="567"/>
      <c r="M200" s="567"/>
      <c r="N200" s="567"/>
      <c r="O200" s="567"/>
      <c r="P200" s="5"/>
      <c r="Q200" s="5"/>
      <c r="R200" s="5"/>
      <c r="S200" s="5"/>
      <c r="T200" s="6"/>
      <c r="U200" s="6"/>
      <c r="V200" s="6"/>
      <c r="W200" s="6"/>
      <c r="X200" s="6"/>
      <c r="Y200" s="6"/>
      <c r="Z200" s="6"/>
      <c r="AA200" s="6"/>
      <c r="AB200" s="6"/>
      <c r="AC200" s="6"/>
      <c r="AD200" s="6"/>
      <c r="AE200" s="6"/>
      <c r="AF200" s="6"/>
    </row>
    <row r="201" spans="2:32" ht="15" customHeight="1">
      <c r="B201" s="2222" t="s">
        <v>43</v>
      </c>
      <c r="C201" s="2223"/>
      <c r="D201" s="2223"/>
      <c r="E201" s="2223"/>
      <c r="F201" s="2223"/>
      <c r="G201" s="2223"/>
      <c r="H201" s="2223"/>
      <c r="I201" s="2223"/>
      <c r="J201" s="2223"/>
      <c r="K201" s="2223"/>
      <c r="L201" s="2223"/>
      <c r="M201" s="2223"/>
      <c r="N201" s="2223"/>
      <c r="O201" s="2223"/>
      <c r="P201" s="2223"/>
      <c r="Q201" s="2223"/>
      <c r="R201" s="2223"/>
      <c r="S201" s="2223"/>
      <c r="T201" s="2223"/>
      <c r="U201" s="2223"/>
      <c r="V201" s="2223"/>
      <c r="W201" s="2223"/>
      <c r="X201" s="2223"/>
      <c r="Y201" s="2223"/>
      <c r="Z201" s="2223"/>
      <c r="AA201" s="2223"/>
      <c r="AB201" s="2223"/>
      <c r="AC201" s="2223"/>
      <c r="AD201" s="2223"/>
      <c r="AE201" s="2223"/>
      <c r="AF201" s="2224"/>
    </row>
    <row r="202" spans="2:32" ht="15" customHeight="1">
      <c r="B202" s="2202" t="s">
        <v>75</v>
      </c>
      <c r="C202" s="2203"/>
      <c r="D202" s="2203"/>
      <c r="E202" s="2203"/>
      <c r="F202" s="2203"/>
      <c r="G202" s="2203"/>
      <c r="H202" s="2203"/>
      <c r="I202" s="2203"/>
      <c r="J202" s="2203"/>
      <c r="K202" s="2203"/>
      <c r="L202" s="2203"/>
      <c r="M202" s="2203"/>
      <c r="N202" s="2203"/>
      <c r="O202" s="2203"/>
      <c r="P202" s="2203"/>
      <c r="Q202" s="2203"/>
      <c r="R202" s="2203"/>
      <c r="S202" s="2203"/>
      <c r="T202" s="2203"/>
      <c r="U202" s="2203"/>
      <c r="V202" s="2203"/>
      <c r="W202" s="2203"/>
      <c r="X202" s="2203"/>
      <c r="Y202" s="2203"/>
      <c r="Z202" s="2203"/>
      <c r="AA202" s="2203"/>
      <c r="AB202" s="2203"/>
      <c r="AC202" s="2203"/>
      <c r="AD202" s="2203"/>
      <c r="AE202" s="2203"/>
      <c r="AF202" s="2204"/>
    </row>
    <row r="203" spans="2:32" ht="15" customHeight="1">
      <c r="B203" s="2205"/>
      <c r="C203" s="2203"/>
      <c r="D203" s="2203"/>
      <c r="E203" s="2203"/>
      <c r="F203" s="2203"/>
      <c r="G203" s="2203"/>
      <c r="H203" s="2203"/>
      <c r="I203" s="2203"/>
      <c r="J203" s="2203"/>
      <c r="K203" s="2203"/>
      <c r="L203" s="2203"/>
      <c r="M203" s="2203"/>
      <c r="N203" s="2203"/>
      <c r="O203" s="2203"/>
      <c r="P203" s="2203"/>
      <c r="Q203" s="2203"/>
      <c r="R203" s="2203"/>
      <c r="S203" s="2203"/>
      <c r="T203" s="2203"/>
      <c r="U203" s="2203"/>
      <c r="V203" s="2203"/>
      <c r="W203" s="2203"/>
      <c r="X203" s="2203"/>
      <c r="Y203" s="2203"/>
      <c r="Z203" s="2203"/>
      <c r="AA203" s="2203"/>
      <c r="AB203" s="2203"/>
      <c r="AC203" s="2203"/>
      <c r="AD203" s="2203"/>
      <c r="AE203" s="2203"/>
      <c r="AF203" s="2204"/>
    </row>
    <row r="204" spans="2:32" ht="15" customHeight="1">
      <c r="B204" s="2205"/>
      <c r="C204" s="2203"/>
      <c r="D204" s="2203"/>
      <c r="E204" s="2203"/>
      <c r="F204" s="2203"/>
      <c r="G204" s="2203"/>
      <c r="H204" s="2203"/>
      <c r="I204" s="2203"/>
      <c r="J204" s="2203"/>
      <c r="K204" s="2203"/>
      <c r="L204" s="2203"/>
      <c r="M204" s="2203"/>
      <c r="N204" s="2203"/>
      <c r="O204" s="2203"/>
      <c r="P204" s="2203"/>
      <c r="Q204" s="2203"/>
      <c r="R204" s="2203"/>
      <c r="S204" s="2203"/>
      <c r="T204" s="2203"/>
      <c r="U204" s="2203"/>
      <c r="V204" s="2203"/>
      <c r="W204" s="2203"/>
      <c r="X204" s="2203"/>
      <c r="Y204" s="2203"/>
      <c r="Z204" s="2203"/>
      <c r="AA204" s="2203"/>
      <c r="AB204" s="2203"/>
      <c r="AC204" s="2203"/>
      <c r="AD204" s="2203"/>
      <c r="AE204" s="2203"/>
      <c r="AF204" s="2204"/>
    </row>
    <row r="205" spans="2:32" ht="14.25" customHeight="1" thickBot="1">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c r="AE205" s="334"/>
      <c r="AF205" s="334"/>
    </row>
    <row r="206" spans="2:32" ht="19.5" customHeight="1" thickTop="1">
      <c r="B206" s="1973" t="str">
        <f>$B$76</f>
        <v>Execução das Obras de Macrodrenagem das Ruas Ceciliano Abel de Almeida e Lourenço Sales</v>
      </c>
      <c r="C206" s="1973"/>
      <c r="D206" s="1973"/>
      <c r="E206" s="1973"/>
      <c r="F206" s="1973"/>
      <c r="G206" s="1973"/>
      <c r="H206" s="1973"/>
      <c r="I206" s="1973"/>
      <c r="J206" s="1973"/>
      <c r="K206" s="1973"/>
      <c r="L206" s="1973"/>
      <c r="M206" s="1973"/>
      <c r="N206" s="1973"/>
      <c r="O206" s="1973"/>
      <c r="P206" s="1973"/>
      <c r="Q206" s="1973"/>
      <c r="R206" s="1973"/>
      <c r="S206" s="1973"/>
      <c r="T206" s="1973"/>
      <c r="U206" s="1973"/>
      <c r="V206" s="1973"/>
      <c r="W206" s="1973"/>
      <c r="X206" s="1973"/>
      <c r="Y206" s="1973"/>
      <c r="Z206" s="1973"/>
      <c r="AA206" s="1973"/>
      <c r="AB206" s="1973"/>
      <c r="AC206" s="1973"/>
      <c r="AD206" s="1973"/>
      <c r="AE206" s="1973"/>
      <c r="AF206" s="1973"/>
    </row>
    <row r="207" spans="2:32" s="349" customFormat="1" ht="20.100000000000001" customHeight="1" thickBot="1">
      <c r="B207" s="348" t="str">
        <f>$B$1</f>
        <v>Consolidação de Elementos de Medição e Supervisão das Condições Trabalhistas</v>
      </c>
      <c r="C207" s="348"/>
      <c r="D207" s="348"/>
      <c r="E207" s="348"/>
      <c r="F207" s="348"/>
      <c r="G207" s="348"/>
      <c r="H207" s="348"/>
      <c r="I207" s="348"/>
      <c r="J207" s="348"/>
      <c r="K207" s="348"/>
      <c r="L207" s="348"/>
      <c r="M207" s="348"/>
      <c r="N207" s="348"/>
      <c r="O207" s="348"/>
      <c r="P207" s="348"/>
      <c r="Q207" s="348"/>
      <c r="R207" s="348"/>
      <c r="S207" s="348"/>
      <c r="T207" s="348"/>
      <c r="U207" s="348"/>
      <c r="V207" s="348"/>
      <c r="W207" s="348"/>
      <c r="X207" s="348"/>
      <c r="Y207" s="348"/>
      <c r="Z207" s="2076" t="str">
        <f>$AA$1</f>
        <v>CMRF 03/5222-08</v>
      </c>
      <c r="AA207" s="2076"/>
      <c r="AB207" s="2076"/>
      <c r="AC207" s="2076"/>
      <c r="AD207" s="2076"/>
      <c r="AE207" s="2076"/>
      <c r="AF207" s="2076"/>
    </row>
    <row r="208" spans="2:32" ht="15" customHeight="1" thickTop="1">
      <c r="B208" s="346"/>
      <c r="C208" s="346"/>
      <c r="D208" s="346"/>
      <c r="E208" s="346"/>
      <c r="F208" s="346"/>
      <c r="G208" s="346"/>
      <c r="H208" s="346"/>
      <c r="I208" s="346"/>
      <c r="J208" s="346"/>
      <c r="K208" s="346"/>
      <c r="L208" s="346"/>
      <c r="M208" s="346"/>
      <c r="N208" s="346"/>
      <c r="O208" s="346"/>
      <c r="P208" s="346"/>
      <c r="Q208" s="346"/>
      <c r="R208" s="346"/>
      <c r="S208" s="346"/>
      <c r="T208" s="346"/>
      <c r="U208" s="346"/>
      <c r="V208" s="346"/>
      <c r="W208" s="346"/>
      <c r="X208" s="346"/>
      <c r="Y208" s="346"/>
      <c r="Z208" s="346"/>
      <c r="AA208" s="346"/>
      <c r="AB208" s="346"/>
      <c r="AC208" s="346"/>
      <c r="AD208" s="346"/>
      <c r="AE208" s="346"/>
      <c r="AF208" s="346"/>
    </row>
    <row r="209" spans="2:41" ht="15" customHeight="1">
      <c r="B209" s="2087" t="s">
        <v>314</v>
      </c>
      <c r="C209" s="2087"/>
      <c r="D209" s="2087"/>
      <c r="E209" s="2087"/>
      <c r="F209" s="2087"/>
      <c r="G209" s="2087"/>
      <c r="H209" s="2087"/>
      <c r="I209" s="2087"/>
      <c r="J209" s="2087"/>
      <c r="K209" s="2087"/>
      <c r="L209" s="2087"/>
      <c r="M209" s="2087"/>
      <c r="N209" s="2087"/>
      <c r="O209" s="2087"/>
      <c r="P209" s="2087"/>
      <c r="Q209" s="2087"/>
      <c r="R209" s="2087"/>
      <c r="S209" s="2087"/>
      <c r="T209" s="2087"/>
      <c r="U209" s="2087"/>
      <c r="V209" s="2087"/>
      <c r="W209" s="2087"/>
      <c r="X209" s="2087"/>
      <c r="Y209" s="2087"/>
      <c r="Z209" s="2087"/>
      <c r="AA209" s="2087"/>
      <c r="AB209" s="2087"/>
      <c r="AC209" s="2087"/>
      <c r="AD209" s="2087"/>
      <c r="AE209" s="2087"/>
      <c r="AF209" s="2087"/>
    </row>
    <row r="210" spans="2:41" ht="15" customHeight="1">
      <c r="B210" s="2090"/>
      <c r="C210" s="2090"/>
      <c r="D210" s="2090"/>
      <c r="E210" s="2090"/>
      <c r="F210" s="2090"/>
      <c r="G210" s="2090"/>
      <c r="H210" s="2090"/>
      <c r="I210" s="2090"/>
      <c r="J210" s="2090"/>
      <c r="K210" s="2090"/>
      <c r="L210" s="2090"/>
      <c r="M210" s="2090"/>
      <c r="N210" s="2090"/>
      <c r="O210" s="2090"/>
      <c r="P210" s="2090"/>
      <c r="Q210" s="2090"/>
      <c r="R210" s="2090"/>
      <c r="S210" s="2090"/>
      <c r="T210" s="2090"/>
      <c r="U210" s="2090"/>
      <c r="V210" s="2090"/>
      <c r="W210" s="2090"/>
      <c r="X210" s="2090"/>
      <c r="Y210" s="2090"/>
      <c r="Z210" s="2090"/>
      <c r="AA210" s="2090"/>
      <c r="AB210" s="2090"/>
      <c r="AC210" s="2090"/>
      <c r="AD210" s="2090"/>
      <c r="AE210" s="2090"/>
      <c r="AF210" s="2090"/>
      <c r="AH210" s="576" t="s">
        <v>640</v>
      </c>
    </row>
    <row r="211" spans="2:41" ht="15" customHeight="1">
      <c r="B211" s="564"/>
      <c r="C211" s="564"/>
      <c r="D211" s="564"/>
      <c r="E211" s="564"/>
      <c r="F211" s="564"/>
      <c r="G211" s="564"/>
      <c r="H211" s="564"/>
      <c r="I211" s="564"/>
      <c r="J211" s="564"/>
      <c r="K211" s="564"/>
      <c r="L211" s="564"/>
      <c r="M211" s="564"/>
      <c r="N211" s="564"/>
      <c r="O211" s="564"/>
      <c r="P211" s="564"/>
      <c r="Q211" s="564"/>
      <c r="R211" s="564"/>
      <c r="S211" s="564"/>
      <c r="T211" s="564"/>
      <c r="U211" s="564"/>
      <c r="V211" s="564"/>
      <c r="W211" s="564"/>
      <c r="X211" s="564"/>
      <c r="Y211" s="564"/>
      <c r="Z211" s="564"/>
      <c r="AA211" s="564"/>
      <c r="AB211" s="564"/>
      <c r="AC211" s="564"/>
      <c r="AD211" s="564"/>
      <c r="AE211" s="564"/>
      <c r="AF211" s="564"/>
    </row>
    <row r="212" spans="2:41" ht="15" customHeight="1">
      <c r="B212" s="1964" t="s">
        <v>13</v>
      </c>
      <c r="C212" s="1964"/>
      <c r="D212" s="1964"/>
      <c r="E212" s="1964"/>
      <c r="F212" s="1964"/>
      <c r="G212" s="2040" t="str">
        <f>G147</f>
        <v>Andares Construções Civil Eireli EPP</v>
      </c>
      <c r="H212" s="2040"/>
      <c r="I212" s="2040"/>
      <c r="J212" s="2040"/>
      <c r="K212" s="2040"/>
      <c r="L212" s="2040"/>
      <c r="M212" s="2040"/>
      <c r="N212" s="2040"/>
      <c r="O212" s="2040"/>
      <c r="P212" s="2040"/>
      <c r="Q212" s="2040"/>
      <c r="R212" s="2040"/>
      <c r="S212" s="2040"/>
      <c r="T212" s="2041"/>
      <c r="U212" s="1963" t="s">
        <v>36</v>
      </c>
      <c r="V212" s="1964"/>
      <c r="W212" s="1964"/>
      <c r="X212" s="1964"/>
      <c r="Y212" s="1964"/>
      <c r="Z212" s="2225">
        <f>Z147</f>
        <v>8</v>
      </c>
      <c r="AA212" s="2225"/>
      <c r="AB212" s="2225"/>
      <c r="AC212" s="2225"/>
      <c r="AD212" s="2225"/>
      <c r="AE212" s="2225"/>
      <c r="AF212" s="2225"/>
    </row>
    <row r="213" spans="2:41" ht="18" customHeight="1">
      <c r="B213" s="2188"/>
      <c r="C213" s="2188"/>
      <c r="D213" s="2188"/>
      <c r="E213" s="2188"/>
      <c r="F213" s="2188"/>
      <c r="G213" s="2042"/>
      <c r="H213" s="2042"/>
      <c r="I213" s="2042"/>
      <c r="J213" s="2042"/>
      <c r="K213" s="2042"/>
      <c r="L213" s="2042"/>
      <c r="M213" s="2042"/>
      <c r="N213" s="2042"/>
      <c r="O213" s="2042"/>
      <c r="P213" s="2042"/>
      <c r="Q213" s="2042"/>
      <c r="R213" s="2042"/>
      <c r="S213" s="2042"/>
      <c r="T213" s="2195"/>
      <c r="U213" s="2272" t="s">
        <v>12</v>
      </c>
      <c r="V213" s="2188"/>
      <c r="W213" s="2188"/>
      <c r="X213" s="2188"/>
      <c r="Y213" s="2188"/>
      <c r="Z213" s="2199" t="str">
        <f>Y83</f>
        <v>01/06/2023 a 27/06/2023</v>
      </c>
      <c r="AA213" s="2199"/>
      <c r="AB213" s="2199"/>
      <c r="AC213" s="2199"/>
      <c r="AD213" s="2199"/>
      <c r="AE213" s="2199"/>
      <c r="AF213" s="2199"/>
    </row>
    <row r="214" spans="2:41" ht="30" customHeight="1">
      <c r="B214" s="2017" t="s">
        <v>37</v>
      </c>
      <c r="C214" s="2017"/>
      <c r="D214" s="2017"/>
      <c r="E214" s="2017"/>
      <c r="F214" s="2017"/>
      <c r="G214" s="2015" t="str">
        <f>G149</f>
        <v>Rua Ceciliano Abel de Almeida e Rua Lourenço Sales, Nova Itaparica</v>
      </c>
      <c r="H214" s="2015"/>
      <c r="I214" s="2015"/>
      <c r="J214" s="2015"/>
      <c r="K214" s="2015"/>
      <c r="L214" s="2015"/>
      <c r="M214" s="2015"/>
      <c r="N214" s="2015"/>
      <c r="O214" s="2015"/>
      <c r="P214" s="2015"/>
      <c r="Q214" s="2015"/>
      <c r="R214" s="2015"/>
      <c r="S214" s="2015"/>
      <c r="T214" s="2016"/>
      <c r="U214" s="1966" t="s">
        <v>38</v>
      </c>
      <c r="V214" s="2017"/>
      <c r="W214" s="2017"/>
      <c r="X214" s="2017"/>
      <c r="Y214" s="2017"/>
      <c r="Z214" s="2018" t="str">
        <f>Z149</f>
        <v>052/2022</v>
      </c>
      <c r="AA214" s="2018"/>
      <c r="AB214" s="2018"/>
      <c r="AC214" s="2018"/>
      <c r="AD214" s="2018"/>
      <c r="AE214" s="2018"/>
      <c r="AF214" s="2018"/>
    </row>
    <row r="215" spans="2:41" ht="15.75">
      <c r="B215" s="788"/>
      <c r="C215" s="788"/>
      <c r="D215" s="788"/>
      <c r="E215" s="788"/>
      <c r="F215" s="788"/>
      <c r="G215" s="832"/>
      <c r="H215" s="832"/>
      <c r="I215" s="832"/>
      <c r="J215" s="832"/>
      <c r="K215" s="832"/>
      <c r="L215" s="832"/>
      <c r="M215" s="832"/>
      <c r="N215" s="832"/>
      <c r="O215" s="832"/>
      <c r="P215" s="832"/>
      <c r="Q215" s="832"/>
      <c r="R215" s="832"/>
      <c r="S215" s="832"/>
      <c r="T215" s="832"/>
      <c r="U215" s="788"/>
      <c r="V215" s="788"/>
      <c r="W215" s="788"/>
      <c r="X215" s="788"/>
      <c r="Y215" s="788"/>
      <c r="Z215" s="825"/>
      <c r="AA215" s="650"/>
      <c r="AB215" s="650"/>
      <c r="AC215" s="650"/>
      <c r="AD215" s="650"/>
      <c r="AE215" s="650"/>
      <c r="AF215" s="650"/>
    </row>
    <row r="216" spans="2:41" ht="15.75">
      <c r="B216" s="788"/>
      <c r="C216" s="788"/>
      <c r="D216" s="788"/>
      <c r="AE216" s="650"/>
      <c r="AF216" s="650"/>
    </row>
    <row r="217" spans="2:41" ht="14.25" customHeight="1">
      <c r="B217" s="564"/>
      <c r="C217" s="564"/>
      <c r="D217" s="564"/>
      <c r="E217" s="2026" t="s">
        <v>941</v>
      </c>
      <c r="F217" s="2218"/>
      <c r="G217" s="2218"/>
      <c r="H217" s="2218"/>
      <c r="I217" s="2218"/>
      <c r="J217" s="2218"/>
      <c r="K217" s="2218"/>
      <c r="L217" s="2218"/>
      <c r="M217" s="2218"/>
      <c r="N217" s="2218"/>
      <c r="O217" s="2218"/>
      <c r="P217" s="2218"/>
      <c r="Q217" s="2218"/>
      <c r="R217" s="2218"/>
      <c r="S217" s="2218"/>
      <c r="T217" s="2218"/>
      <c r="U217" s="2218"/>
      <c r="V217" s="2218"/>
      <c r="W217" s="2218"/>
      <c r="X217" s="2218"/>
      <c r="Y217" s="2218"/>
      <c r="Z217" s="2218"/>
      <c r="AA217" s="2218"/>
      <c r="AB217" s="2218"/>
      <c r="AC217" s="2218"/>
      <c r="AD217" s="2024"/>
      <c r="AE217" s="334"/>
      <c r="AF217" s="564"/>
    </row>
    <row r="218" spans="2:41" ht="15" customHeight="1">
      <c r="B218" s="2226" t="s">
        <v>59</v>
      </c>
      <c r="C218" s="2227"/>
      <c r="D218" s="2228"/>
      <c r="E218" s="1978">
        <v>1</v>
      </c>
      <c r="F218" s="1979"/>
      <c r="G218" s="1978">
        <f>E218+1</f>
        <v>2</v>
      </c>
      <c r="H218" s="1979"/>
      <c r="I218" s="1978">
        <f>G218+1</f>
        <v>3</v>
      </c>
      <c r="J218" s="1979"/>
      <c r="K218" s="1978">
        <f>I218+1</f>
        <v>4</v>
      </c>
      <c r="L218" s="1979"/>
      <c r="M218" s="1978">
        <f>K218+1</f>
        <v>5</v>
      </c>
      <c r="N218" s="1979"/>
      <c r="O218" s="1978">
        <f>M218+1</f>
        <v>6</v>
      </c>
      <c r="P218" s="1979"/>
      <c r="Q218" s="1978">
        <f>O218+1</f>
        <v>7</v>
      </c>
      <c r="R218" s="1979"/>
      <c r="S218" s="1978">
        <f>Q218+1</f>
        <v>8</v>
      </c>
      <c r="T218" s="1979"/>
      <c r="U218" s="1978">
        <f>S218+1</f>
        <v>9</v>
      </c>
      <c r="V218" s="1979"/>
      <c r="W218" s="1978">
        <f>U218+1</f>
        <v>10</v>
      </c>
      <c r="X218" s="1979"/>
      <c r="Y218" s="1978">
        <f>W218+1</f>
        <v>11</v>
      </c>
      <c r="Z218" s="1979"/>
      <c r="AA218" s="1978">
        <f>Y218+1</f>
        <v>12</v>
      </c>
      <c r="AB218" s="1979"/>
      <c r="AC218" s="1978">
        <f>AA218+1</f>
        <v>13</v>
      </c>
      <c r="AD218" s="1979"/>
      <c r="AE218" s="334"/>
      <c r="AF218" s="334"/>
    </row>
    <row r="219" spans="2:41" ht="15" customHeight="1">
      <c r="B219" s="1999" t="s">
        <v>60</v>
      </c>
      <c r="C219" s="2000"/>
      <c r="D219" s="2001"/>
      <c r="E219" s="2005">
        <v>1</v>
      </c>
      <c r="F219" s="2005">
        <v>1</v>
      </c>
      <c r="G219" s="2005">
        <v>1</v>
      </c>
      <c r="H219" s="2005">
        <v>1</v>
      </c>
      <c r="I219" s="2005">
        <v>1</v>
      </c>
      <c r="J219" s="2005">
        <v>1</v>
      </c>
      <c r="K219" s="2005">
        <v>1</v>
      </c>
      <c r="L219" s="2005">
        <v>1</v>
      </c>
      <c r="M219" s="2005">
        <v>1</v>
      </c>
      <c r="N219" s="2005">
        <v>1</v>
      </c>
      <c r="O219" s="2005">
        <v>1</v>
      </c>
      <c r="P219" s="2005">
        <v>1</v>
      </c>
      <c r="Q219" s="2005">
        <v>1</v>
      </c>
      <c r="R219" s="2005">
        <v>1</v>
      </c>
      <c r="S219" s="2005">
        <v>1</v>
      </c>
      <c r="T219" s="2005">
        <v>1</v>
      </c>
      <c r="U219" s="2005">
        <v>1</v>
      </c>
      <c r="V219" s="2005">
        <v>1</v>
      </c>
      <c r="W219" s="2005">
        <v>1</v>
      </c>
      <c r="X219" s="2005">
        <v>1</v>
      </c>
      <c r="Y219" s="2005">
        <v>1</v>
      </c>
      <c r="Z219" s="2005">
        <v>1</v>
      </c>
      <c r="AA219" s="2005">
        <v>1</v>
      </c>
      <c r="AB219" s="2005">
        <v>1</v>
      </c>
      <c r="AC219" s="2005">
        <v>1</v>
      </c>
      <c r="AD219" s="2005">
        <v>1</v>
      </c>
      <c r="AE219" s="334"/>
      <c r="AF219" s="334"/>
      <c r="AK219" s="1037"/>
      <c r="AL219" s="1037"/>
      <c r="AM219" s="1037"/>
      <c r="AN219" s="1037"/>
      <c r="AO219" s="1037"/>
    </row>
    <row r="220" spans="2:41" ht="15" customHeight="1">
      <c r="B220" s="2002"/>
      <c r="C220" s="2003"/>
      <c r="D220" s="2004"/>
      <c r="E220" s="2006"/>
      <c r="F220" s="2006"/>
      <c r="G220" s="2006"/>
      <c r="H220" s="2006"/>
      <c r="I220" s="2006"/>
      <c r="J220" s="2006"/>
      <c r="K220" s="2006"/>
      <c r="L220" s="2006"/>
      <c r="M220" s="2006"/>
      <c r="N220" s="2006"/>
      <c r="O220" s="2006"/>
      <c r="P220" s="2006"/>
      <c r="Q220" s="2006"/>
      <c r="R220" s="2006"/>
      <c r="S220" s="2006"/>
      <c r="T220" s="2006"/>
      <c r="U220" s="2006"/>
      <c r="V220" s="2006"/>
      <c r="W220" s="2006"/>
      <c r="X220" s="2006"/>
      <c r="Y220" s="2006"/>
      <c r="Z220" s="2006"/>
      <c r="AA220" s="2006"/>
      <c r="AB220" s="2006"/>
      <c r="AC220" s="2006"/>
      <c r="AD220" s="2006"/>
      <c r="AE220" s="334"/>
      <c r="AF220" s="334"/>
      <c r="AK220" s="1038"/>
      <c r="AL220" s="1038"/>
      <c r="AM220" s="1038"/>
      <c r="AN220" s="1038"/>
      <c r="AO220" s="1038"/>
    </row>
    <row r="221" spans="2:41" ht="15" customHeight="1">
      <c r="B221" s="1999" t="s">
        <v>61</v>
      </c>
      <c r="C221" s="2000"/>
      <c r="D221" s="2001"/>
      <c r="E221" s="2005">
        <v>1</v>
      </c>
      <c r="F221" s="2005">
        <v>1</v>
      </c>
      <c r="G221" s="2005">
        <v>1</v>
      </c>
      <c r="H221" s="2005">
        <v>1</v>
      </c>
      <c r="I221" s="2005">
        <v>1</v>
      </c>
      <c r="J221" s="2005">
        <v>1</v>
      </c>
      <c r="K221" s="2005">
        <v>1</v>
      </c>
      <c r="L221" s="2005">
        <v>1</v>
      </c>
      <c r="M221" s="2005">
        <v>1</v>
      </c>
      <c r="N221" s="2005">
        <v>1</v>
      </c>
      <c r="O221" s="2005">
        <v>1</v>
      </c>
      <c r="P221" s="2005">
        <v>1</v>
      </c>
      <c r="Q221" s="2005">
        <v>1</v>
      </c>
      <c r="R221" s="2005">
        <v>1</v>
      </c>
      <c r="S221" s="2005">
        <v>1</v>
      </c>
      <c r="T221" s="2005">
        <v>1</v>
      </c>
      <c r="U221" s="2005">
        <v>1</v>
      </c>
      <c r="V221" s="2005">
        <v>1</v>
      </c>
      <c r="W221" s="2005">
        <v>1</v>
      </c>
      <c r="X221" s="2005">
        <v>1</v>
      </c>
      <c r="Y221" s="2005">
        <v>1</v>
      </c>
      <c r="Z221" s="2005">
        <v>1</v>
      </c>
      <c r="AA221" s="2005">
        <v>1</v>
      </c>
      <c r="AB221" s="2005">
        <v>1</v>
      </c>
      <c r="AC221" s="2005">
        <v>1</v>
      </c>
      <c r="AD221" s="2005">
        <v>1</v>
      </c>
      <c r="AE221" s="334"/>
      <c r="AF221" s="334"/>
      <c r="AJ221" s="1" t="s">
        <v>394</v>
      </c>
      <c r="AK221" s="1038"/>
      <c r="AL221" s="1038"/>
      <c r="AM221" s="1038"/>
      <c r="AN221" s="1038"/>
      <c r="AO221" s="1038"/>
    </row>
    <row r="222" spans="2:41" ht="15" customHeight="1">
      <c r="B222" s="2002"/>
      <c r="C222" s="2003"/>
      <c r="D222" s="2004"/>
      <c r="E222" s="2006"/>
      <c r="F222" s="2006"/>
      <c r="G222" s="2006"/>
      <c r="H222" s="2006"/>
      <c r="I222" s="2006"/>
      <c r="J222" s="2006"/>
      <c r="K222" s="2006"/>
      <c r="L222" s="2006"/>
      <c r="M222" s="2006"/>
      <c r="N222" s="2006"/>
      <c r="O222" s="2006"/>
      <c r="P222" s="2006"/>
      <c r="Q222" s="2006"/>
      <c r="R222" s="2006"/>
      <c r="S222" s="2006"/>
      <c r="T222" s="2006"/>
      <c r="U222" s="2006"/>
      <c r="V222" s="2006"/>
      <c r="W222" s="2006"/>
      <c r="X222" s="2006"/>
      <c r="Y222" s="2006"/>
      <c r="Z222" s="2006"/>
      <c r="AA222" s="2006"/>
      <c r="AB222" s="2006"/>
      <c r="AC222" s="2006"/>
      <c r="AD222" s="2006"/>
      <c r="AE222" s="334"/>
      <c r="AF222" s="334"/>
      <c r="AJ222" s="1" t="s">
        <v>395</v>
      </c>
      <c r="AK222" s="1038"/>
      <c r="AL222" s="1038"/>
      <c r="AM222" s="1038"/>
      <c r="AN222" s="1038"/>
      <c r="AO222" s="1038"/>
    </row>
    <row r="223" spans="2:41" ht="15" customHeight="1">
      <c r="B223" s="2231" t="s">
        <v>62</v>
      </c>
      <c r="C223" s="2232"/>
      <c r="D223" s="2232"/>
      <c r="E223" s="2229">
        <f>SUM(E219:F222)*25</f>
        <v>100</v>
      </c>
      <c r="F223" s="2230"/>
      <c r="G223" s="2229">
        <f>SUM(G219:H222)*25</f>
        <v>100</v>
      </c>
      <c r="H223" s="2230"/>
      <c r="I223" s="2007">
        <f>SUM(I219:J222)*25</f>
        <v>100</v>
      </c>
      <c r="J223" s="2008"/>
      <c r="K223" s="2007">
        <f>SUM(K219:L222)*25</f>
        <v>100</v>
      </c>
      <c r="L223" s="2008"/>
      <c r="M223" s="2007">
        <f>SUM(M219:N222)*25</f>
        <v>100</v>
      </c>
      <c r="N223" s="2008"/>
      <c r="O223" s="2007">
        <f>SUM(O219:P222)*25</f>
        <v>100</v>
      </c>
      <c r="P223" s="2008"/>
      <c r="Q223" s="2007">
        <f>SUM(Q219:R222)*25</f>
        <v>100</v>
      </c>
      <c r="R223" s="2008"/>
      <c r="S223" s="2007">
        <f>SUM(S219:T222)*25</f>
        <v>100</v>
      </c>
      <c r="T223" s="2008"/>
      <c r="U223" s="2007">
        <f>SUM(U219:V222)*25</f>
        <v>100</v>
      </c>
      <c r="V223" s="2008"/>
      <c r="W223" s="2007">
        <f>SUM(W219:X222)*25</f>
        <v>100</v>
      </c>
      <c r="X223" s="2008"/>
      <c r="Y223" s="2007">
        <f>SUM(Y219:Z222)*25</f>
        <v>100</v>
      </c>
      <c r="Z223" s="2008"/>
      <c r="AA223" s="2007">
        <f>SUM(AA219:AB222)*25</f>
        <v>100</v>
      </c>
      <c r="AB223" s="2008"/>
      <c r="AC223" s="2007">
        <f>SUM(AC219:AD222)*25</f>
        <v>100</v>
      </c>
      <c r="AD223" s="2008"/>
      <c r="AE223" s="334"/>
      <c r="AF223" s="334"/>
      <c r="AK223" s="1038"/>
      <c r="AL223" s="1038"/>
      <c r="AM223" s="1038"/>
      <c r="AN223" s="1038"/>
      <c r="AO223" s="1038"/>
    </row>
    <row r="224" spans="2:41" ht="15" customHeight="1">
      <c r="B224" s="2232"/>
      <c r="C224" s="2232"/>
      <c r="D224" s="2232"/>
      <c r="E224" s="2009"/>
      <c r="F224" s="2010"/>
      <c r="G224" s="2009"/>
      <c r="H224" s="2010"/>
      <c r="I224" s="2009"/>
      <c r="J224" s="2010"/>
      <c r="K224" s="2009"/>
      <c r="L224" s="2010"/>
      <c r="M224" s="2009"/>
      <c r="N224" s="2010"/>
      <c r="O224" s="2009"/>
      <c r="P224" s="2010"/>
      <c r="Q224" s="2009"/>
      <c r="R224" s="2010"/>
      <c r="S224" s="2009"/>
      <c r="T224" s="2010"/>
      <c r="U224" s="2009"/>
      <c r="V224" s="2010"/>
      <c r="W224" s="2009"/>
      <c r="X224" s="2010"/>
      <c r="Y224" s="2009"/>
      <c r="Z224" s="2010"/>
      <c r="AA224" s="2009"/>
      <c r="AB224" s="2010"/>
      <c r="AC224" s="2009"/>
      <c r="AD224" s="2010"/>
      <c r="AE224" s="334"/>
      <c r="AF224" s="334"/>
      <c r="AK224" s="790"/>
      <c r="AL224" s="790"/>
      <c r="AM224" s="790"/>
      <c r="AN224" s="790"/>
      <c r="AO224" s="790"/>
    </row>
    <row r="225" spans="2:61" ht="15" customHeight="1">
      <c r="B225" s="791"/>
      <c r="C225" s="792"/>
      <c r="D225" s="792"/>
      <c r="E225" s="789"/>
      <c r="F225" s="789"/>
      <c r="G225" s="789"/>
      <c r="H225" s="789"/>
      <c r="I225" s="789"/>
      <c r="J225" s="789"/>
      <c r="K225" s="789"/>
      <c r="L225" s="789"/>
      <c r="M225" s="789"/>
      <c r="N225" s="789"/>
      <c r="O225" s="789"/>
      <c r="P225" s="789"/>
      <c r="Q225" s="789"/>
      <c r="R225" s="789"/>
      <c r="S225" s="789"/>
      <c r="T225" s="789"/>
      <c r="U225" s="790"/>
      <c r="V225" s="790"/>
      <c r="W225" s="790"/>
      <c r="X225" s="790"/>
      <c r="Y225" s="790"/>
      <c r="Z225" s="790"/>
      <c r="AA225" s="790"/>
      <c r="AB225" s="790"/>
      <c r="AC225" s="334"/>
      <c r="AD225" s="334"/>
      <c r="AE225" s="334"/>
      <c r="AF225" s="334"/>
      <c r="AK225" s="790"/>
      <c r="AL225" s="790"/>
      <c r="AM225" s="790"/>
      <c r="AN225" s="790"/>
      <c r="AO225" s="790"/>
    </row>
    <row r="226" spans="2:61" ht="15" customHeight="1">
      <c r="B226" s="2232" t="s">
        <v>59</v>
      </c>
      <c r="C226" s="2232"/>
      <c r="D226" s="2232"/>
      <c r="E226" s="1978">
        <v>14</v>
      </c>
      <c r="F226" s="1979"/>
      <c r="G226" s="1978">
        <f>E226+1</f>
        <v>15</v>
      </c>
      <c r="H226" s="1979"/>
      <c r="I226" s="1978">
        <f>G226+1</f>
        <v>16</v>
      </c>
      <c r="J226" s="1979"/>
      <c r="K226" s="1978">
        <f>I226+1</f>
        <v>17</v>
      </c>
      <c r="L226" s="1979"/>
      <c r="M226" s="1978">
        <f>K226+1</f>
        <v>18</v>
      </c>
      <c r="N226" s="1979"/>
      <c r="O226" s="1978">
        <f>M226+1</f>
        <v>19</v>
      </c>
      <c r="P226" s="1979"/>
      <c r="Q226" s="1978">
        <f>O226+1</f>
        <v>20</v>
      </c>
      <c r="R226" s="1979"/>
      <c r="S226" s="1978">
        <f>Q226+1</f>
        <v>21</v>
      </c>
      <c r="T226" s="1979"/>
      <c r="U226" s="1978">
        <f>S226+1</f>
        <v>22</v>
      </c>
      <c r="V226" s="1979"/>
      <c r="W226" s="1978">
        <f>U226+1</f>
        <v>23</v>
      </c>
      <c r="X226" s="1979"/>
      <c r="Y226" s="1978">
        <f>W226+1</f>
        <v>24</v>
      </c>
      <c r="Z226" s="1979"/>
      <c r="AA226" s="1978">
        <f>Y226+1</f>
        <v>25</v>
      </c>
      <c r="AB226" s="1979"/>
      <c r="AC226" s="1978">
        <f>AA226+1</f>
        <v>26</v>
      </c>
      <c r="AD226" s="1979"/>
      <c r="AE226" s="334"/>
      <c r="AF226" s="334"/>
    </row>
    <row r="227" spans="2:61" ht="15" customHeight="1">
      <c r="B227" s="2273" t="s">
        <v>60</v>
      </c>
      <c r="C227" s="1980"/>
      <c r="D227" s="1980"/>
      <c r="E227" s="2005">
        <v>1</v>
      </c>
      <c r="F227" s="2005">
        <v>1</v>
      </c>
      <c r="G227" s="2005">
        <v>1</v>
      </c>
      <c r="H227" s="2005">
        <v>1</v>
      </c>
      <c r="I227" s="2005">
        <v>1</v>
      </c>
      <c r="J227" s="2005">
        <v>1</v>
      </c>
      <c r="K227" s="2005">
        <v>0</v>
      </c>
      <c r="L227" s="2005">
        <v>0</v>
      </c>
      <c r="M227" s="2005">
        <v>1</v>
      </c>
      <c r="N227" s="2005">
        <v>1</v>
      </c>
      <c r="O227" s="2005">
        <v>1</v>
      </c>
      <c r="P227" s="2005">
        <v>1</v>
      </c>
      <c r="Q227" s="2005">
        <v>1</v>
      </c>
      <c r="R227" s="2005">
        <v>1</v>
      </c>
      <c r="S227" s="2005">
        <v>1</v>
      </c>
      <c r="T227" s="2005">
        <v>1</v>
      </c>
      <c r="U227" s="2005">
        <v>1</v>
      </c>
      <c r="V227" s="2005">
        <v>1</v>
      </c>
      <c r="W227" s="2005">
        <v>1</v>
      </c>
      <c r="X227" s="2005">
        <v>1</v>
      </c>
      <c r="Y227" s="2005">
        <v>0</v>
      </c>
      <c r="Z227" s="2005">
        <v>0</v>
      </c>
      <c r="AA227" s="2005">
        <v>1</v>
      </c>
      <c r="AB227" s="2005">
        <v>1</v>
      </c>
      <c r="AC227" s="2005">
        <v>1</v>
      </c>
      <c r="AD227" s="2005">
        <v>1</v>
      </c>
      <c r="AE227" s="334"/>
      <c r="AF227" s="334"/>
    </row>
    <row r="228" spans="2:61" ht="15" customHeight="1">
      <c r="B228" s="1980"/>
      <c r="C228" s="1980"/>
      <c r="D228" s="1980"/>
      <c r="E228" s="2011"/>
      <c r="F228" s="2011"/>
      <c r="G228" s="2011"/>
      <c r="H228" s="2011"/>
      <c r="I228" s="2011"/>
      <c r="J228" s="2011"/>
      <c r="K228" s="2011"/>
      <c r="L228" s="2011"/>
      <c r="M228" s="2011"/>
      <c r="N228" s="2011"/>
      <c r="O228" s="2011"/>
      <c r="P228" s="2011"/>
      <c r="Q228" s="2011"/>
      <c r="R228" s="2011"/>
      <c r="S228" s="2011"/>
      <c r="T228" s="2011"/>
      <c r="U228" s="2011"/>
      <c r="V228" s="2011"/>
      <c r="W228" s="2011"/>
      <c r="X228" s="2011"/>
      <c r="Y228" s="2011"/>
      <c r="Z228" s="2011"/>
      <c r="AA228" s="2011"/>
      <c r="AB228" s="2011"/>
      <c r="AC228" s="2011"/>
      <c r="AD228" s="2011"/>
      <c r="AE228" s="334"/>
      <c r="AF228" s="334"/>
    </row>
    <row r="229" spans="2:61" ht="15" customHeight="1">
      <c r="B229" s="2273" t="s">
        <v>61</v>
      </c>
      <c r="C229" s="1980"/>
      <c r="D229" s="1980"/>
      <c r="E229" s="2005">
        <v>1</v>
      </c>
      <c r="F229" s="2005">
        <v>1</v>
      </c>
      <c r="G229" s="2005">
        <v>1</v>
      </c>
      <c r="H229" s="2005">
        <v>1</v>
      </c>
      <c r="I229" s="2005">
        <v>1</v>
      </c>
      <c r="J229" s="2005">
        <v>1</v>
      </c>
      <c r="K229" s="2005">
        <v>0</v>
      </c>
      <c r="L229" s="2005">
        <v>0</v>
      </c>
      <c r="M229" s="2005">
        <v>1</v>
      </c>
      <c r="N229" s="2005">
        <v>1</v>
      </c>
      <c r="O229" s="2005">
        <v>1</v>
      </c>
      <c r="P229" s="2005">
        <v>1</v>
      </c>
      <c r="Q229" s="2005">
        <v>1</v>
      </c>
      <c r="R229" s="2005">
        <v>1</v>
      </c>
      <c r="S229" s="2005">
        <v>1</v>
      </c>
      <c r="T229" s="2005">
        <v>1</v>
      </c>
      <c r="U229" s="2005">
        <v>1</v>
      </c>
      <c r="V229" s="2005">
        <v>1</v>
      </c>
      <c r="W229" s="2005">
        <v>1</v>
      </c>
      <c r="X229" s="2005">
        <v>1</v>
      </c>
      <c r="Y229" s="2005">
        <v>1</v>
      </c>
      <c r="Z229" s="2005">
        <v>1</v>
      </c>
      <c r="AA229" s="2005">
        <v>1</v>
      </c>
      <c r="AB229" s="2005">
        <v>1</v>
      </c>
      <c r="AC229" s="2005">
        <v>1</v>
      </c>
      <c r="AD229" s="2005">
        <v>1</v>
      </c>
      <c r="AE229" s="334"/>
      <c r="AF229" s="334"/>
    </row>
    <row r="230" spans="2:61" ht="15" customHeight="1">
      <c r="B230" s="1980"/>
      <c r="C230" s="1980"/>
      <c r="D230" s="1980"/>
      <c r="E230" s="2011"/>
      <c r="F230" s="2011"/>
      <c r="G230" s="2011"/>
      <c r="H230" s="2011"/>
      <c r="I230" s="2011"/>
      <c r="J230" s="2011"/>
      <c r="K230" s="2011"/>
      <c r="L230" s="2011"/>
      <c r="M230" s="2011"/>
      <c r="N230" s="2011"/>
      <c r="O230" s="2011"/>
      <c r="P230" s="2011"/>
      <c r="Q230" s="2011"/>
      <c r="R230" s="2011"/>
      <c r="S230" s="2011"/>
      <c r="T230" s="2011"/>
      <c r="U230" s="2011"/>
      <c r="V230" s="2011"/>
      <c r="W230" s="2011"/>
      <c r="X230" s="2011"/>
      <c r="Y230" s="2011"/>
      <c r="Z230" s="2011"/>
      <c r="AA230" s="2011"/>
      <c r="AB230" s="2011"/>
      <c r="AC230" s="2011"/>
      <c r="AD230" s="2011"/>
      <c r="AE230" s="334"/>
      <c r="AF230" s="334"/>
    </row>
    <row r="231" spans="2:61" ht="15" customHeight="1">
      <c r="B231" s="2231" t="s">
        <v>62</v>
      </c>
      <c r="C231" s="2232"/>
      <c r="D231" s="2232"/>
      <c r="E231" s="2229">
        <f>SUM(E227:F230)*25</f>
        <v>100</v>
      </c>
      <c r="F231" s="2230"/>
      <c r="G231" s="2229">
        <f>SUM(G227:H230)*25</f>
        <v>100</v>
      </c>
      <c r="H231" s="2230"/>
      <c r="I231" s="2007">
        <f>SUM(I227:J230)*25</f>
        <v>100</v>
      </c>
      <c r="J231" s="2008"/>
      <c r="K231" s="2007">
        <f>SUM(K227:L230)*25</f>
        <v>0</v>
      </c>
      <c r="L231" s="2008"/>
      <c r="M231" s="2007">
        <f>SUM(M227:N230)*25</f>
        <v>100</v>
      </c>
      <c r="N231" s="2008"/>
      <c r="O231" s="2007">
        <f>SUM(O227:P230)*25</f>
        <v>100</v>
      </c>
      <c r="P231" s="2008"/>
      <c r="Q231" s="2007">
        <f>SUM(Q227:R230)*25</f>
        <v>100</v>
      </c>
      <c r="R231" s="2008"/>
      <c r="S231" s="2007">
        <f>SUM(S227:T230)*25</f>
        <v>100</v>
      </c>
      <c r="T231" s="2008"/>
      <c r="U231" s="2007">
        <f>SUM(U227:V230)*25</f>
        <v>100</v>
      </c>
      <c r="V231" s="2008"/>
      <c r="W231" s="2007">
        <f>SUM(W227:X230)*25</f>
        <v>100</v>
      </c>
      <c r="X231" s="2008"/>
      <c r="Y231" s="2007">
        <f>SUM(Y227:Z230)*25</f>
        <v>50</v>
      </c>
      <c r="Z231" s="2008"/>
      <c r="AA231" s="2007">
        <f>SUM(AA227:AB230)*25</f>
        <v>100</v>
      </c>
      <c r="AB231" s="2008"/>
      <c r="AC231" s="2007">
        <f>SUM(AC227:AD230)*25</f>
        <v>100</v>
      </c>
      <c r="AD231" s="2008"/>
      <c r="AE231" s="334"/>
      <c r="AF231" s="334"/>
    </row>
    <row r="232" spans="2:61" ht="15" customHeight="1">
      <c r="B232" s="2232"/>
      <c r="C232" s="2232"/>
      <c r="D232" s="2232"/>
      <c r="E232" s="2009"/>
      <c r="F232" s="2010"/>
      <c r="G232" s="2009"/>
      <c r="H232" s="2010"/>
      <c r="I232" s="2009"/>
      <c r="J232" s="2010"/>
      <c r="K232" s="2009"/>
      <c r="L232" s="2010"/>
      <c r="M232" s="2009"/>
      <c r="N232" s="2010"/>
      <c r="O232" s="2009"/>
      <c r="P232" s="2010"/>
      <c r="Q232" s="2009"/>
      <c r="R232" s="2010"/>
      <c r="S232" s="2009"/>
      <c r="T232" s="2010"/>
      <c r="U232" s="2009"/>
      <c r="V232" s="2010"/>
      <c r="W232" s="2009"/>
      <c r="X232" s="2010"/>
      <c r="Y232" s="2009"/>
      <c r="Z232" s="2010"/>
      <c r="AA232" s="2009"/>
      <c r="AB232" s="2010"/>
      <c r="AC232" s="2009"/>
      <c r="AD232" s="2010"/>
      <c r="AE232" s="334"/>
      <c r="AF232" s="334"/>
    </row>
    <row r="233" spans="2:61" ht="15" customHeight="1">
      <c r="B233" s="780"/>
      <c r="C233" s="780"/>
      <c r="D233" s="780"/>
      <c r="E233" s="797"/>
      <c r="F233" s="797"/>
      <c r="G233" s="789"/>
      <c r="H233" s="789"/>
      <c r="I233" s="789"/>
      <c r="J233" s="789"/>
      <c r="K233" s="789"/>
      <c r="L233" s="789"/>
      <c r="M233" s="789"/>
      <c r="N233" s="789"/>
      <c r="O233" s="789"/>
      <c r="P233" s="789"/>
      <c r="Q233" s="789"/>
      <c r="R233" s="789"/>
      <c r="S233" s="790"/>
      <c r="T233" s="790"/>
      <c r="U233" s="790"/>
      <c r="V233" s="790"/>
      <c r="W233" s="790"/>
      <c r="X233" s="790"/>
      <c r="Y233" s="790"/>
      <c r="Z233" s="790"/>
      <c r="AA233" s="790"/>
      <c r="AB233" s="790"/>
      <c r="AC233" s="790"/>
      <c r="AD233" s="790"/>
      <c r="AE233" s="334"/>
      <c r="AF233" s="334"/>
    </row>
    <row r="234" spans="2:61" ht="15" customHeight="1">
      <c r="B234" s="2232" t="s">
        <v>59</v>
      </c>
      <c r="C234" s="2232"/>
      <c r="D234" s="2232"/>
      <c r="E234" s="1978">
        <f>AC226+1</f>
        <v>27</v>
      </c>
      <c r="F234" s="1979"/>
      <c r="G234" s="2274"/>
      <c r="H234" s="2275"/>
      <c r="I234" s="2275"/>
      <c r="J234" s="2275"/>
      <c r="K234" s="2275"/>
      <c r="L234" s="2275"/>
      <c r="M234"/>
      <c r="N234"/>
      <c r="O234" s="334"/>
      <c r="P234" s="334"/>
      <c r="Q234" s="334"/>
      <c r="R234" s="334"/>
      <c r="S234" s="334"/>
      <c r="T234" s="334"/>
      <c r="U234" s="334"/>
      <c r="V234" s="334"/>
      <c r="W234" s="334"/>
      <c r="X234" s="334"/>
      <c r="Y234" s="334"/>
      <c r="Z234" s="334"/>
      <c r="AH234" s="2"/>
      <c r="AL234" s="577"/>
      <c r="BI234" s="1039"/>
    </row>
    <row r="235" spans="2:61" ht="15" customHeight="1">
      <c r="B235" s="2273" t="s">
        <v>60</v>
      </c>
      <c r="C235" s="1980"/>
      <c r="D235" s="1980"/>
      <c r="E235" s="2005">
        <v>1</v>
      </c>
      <c r="F235" s="2005">
        <v>1</v>
      </c>
      <c r="G235" s="2274"/>
      <c r="H235" s="2275"/>
      <c r="I235" s="2275"/>
      <c r="J235" s="2275"/>
      <c r="K235" s="2275"/>
      <c r="L235" s="2275"/>
      <c r="M235"/>
      <c r="N235"/>
      <c r="O235" s="1468"/>
      <c r="P235" s="1468"/>
      <c r="Q235" s="1468"/>
      <c r="R235" s="1468"/>
      <c r="S235" s="1468"/>
      <c r="T235" s="1468"/>
      <c r="U235" s="1468"/>
      <c r="V235" s="1468"/>
      <c r="W235" s="1468"/>
      <c r="X235" s="1468"/>
      <c r="Y235" s="1468"/>
      <c r="Z235" s="1468"/>
      <c r="AA235" s="1468"/>
      <c r="AB235" s="1468"/>
      <c r="AC235" s="1468"/>
      <c r="AH235" s="2"/>
      <c r="BI235" s="1039"/>
    </row>
    <row r="236" spans="2:61" ht="15" customHeight="1">
      <c r="B236" s="1980"/>
      <c r="C236" s="1980"/>
      <c r="D236" s="1980"/>
      <c r="E236" s="2011"/>
      <c r="F236" s="2011"/>
      <c r="G236" s="2274"/>
      <c r="H236" s="2275"/>
      <c r="I236" s="2275"/>
      <c r="J236" s="2275"/>
      <c r="K236" s="2275"/>
      <c r="L236" s="2275"/>
      <c r="M236"/>
      <c r="N236"/>
      <c r="O236" s="1468"/>
      <c r="P236" s="1468"/>
      <c r="Q236" s="1468"/>
      <c r="R236" s="1468"/>
      <c r="S236" s="1468"/>
      <c r="T236" s="1468"/>
      <c r="U236" s="1468"/>
      <c r="V236" s="1468"/>
      <c r="W236" s="1468"/>
      <c r="X236" s="1468"/>
      <c r="Y236" s="1468"/>
      <c r="Z236" s="1468"/>
      <c r="AA236" s="1468"/>
      <c r="AB236" s="1468"/>
      <c r="AC236" s="1468"/>
      <c r="AH236" s="2"/>
      <c r="BI236" s="1039"/>
    </row>
    <row r="237" spans="2:61" ht="15" customHeight="1">
      <c r="B237" s="2273" t="s">
        <v>61</v>
      </c>
      <c r="C237" s="1980"/>
      <c r="D237" s="1980"/>
      <c r="E237" s="2005">
        <v>1</v>
      </c>
      <c r="F237" s="2005">
        <v>1</v>
      </c>
      <c r="G237" s="2274"/>
      <c r="H237" s="2275"/>
      <c r="I237" s="2275"/>
      <c r="J237" s="2275"/>
      <c r="K237" s="2275"/>
      <c r="L237" s="2275"/>
      <c r="M237"/>
      <c r="N237"/>
      <c r="O237" s="1468"/>
      <c r="P237" s="1468"/>
      <c r="Q237" s="1468"/>
      <c r="R237" s="1468"/>
      <c r="S237" s="1468"/>
      <c r="T237" s="1468"/>
      <c r="U237" s="1468"/>
      <c r="V237" s="1468"/>
      <c r="W237" s="1468"/>
      <c r="X237" s="1468"/>
      <c r="Y237" s="1468"/>
      <c r="Z237" s="1468"/>
      <c r="AA237" s="1468"/>
      <c r="AB237" s="1468"/>
      <c r="AC237" s="1468"/>
      <c r="AH237" s="2"/>
      <c r="BI237" s="1039"/>
    </row>
    <row r="238" spans="2:61" ht="15" customHeight="1">
      <c r="B238" s="1980"/>
      <c r="C238" s="1980"/>
      <c r="D238" s="1980"/>
      <c r="E238" s="2011"/>
      <c r="F238" s="2011"/>
      <c r="G238" s="2274"/>
      <c r="H238" s="2275"/>
      <c r="I238" s="2275"/>
      <c r="J238" s="2275"/>
      <c r="K238" s="2275"/>
      <c r="L238" s="2275"/>
      <c r="M238"/>
      <c r="N238"/>
      <c r="O238" s="1468"/>
      <c r="P238" s="1468"/>
      <c r="Q238" s="1468"/>
      <c r="R238" s="1468"/>
      <c r="S238" s="1468"/>
      <c r="T238" s="1468"/>
      <c r="U238" s="1468"/>
      <c r="V238" s="1468"/>
      <c r="W238" s="1468"/>
      <c r="X238" s="1468"/>
      <c r="Y238" s="1468"/>
      <c r="Z238" s="1468"/>
      <c r="AA238" s="1468"/>
      <c r="AB238" s="1468"/>
      <c r="AC238" s="1468"/>
      <c r="AH238" s="2"/>
      <c r="BI238" s="1039"/>
    </row>
    <row r="239" spans="2:61" ht="15" customHeight="1">
      <c r="B239" s="2231" t="s">
        <v>62</v>
      </c>
      <c r="C239" s="2232"/>
      <c r="D239" s="2232"/>
      <c r="E239" s="2229">
        <f>SUM(E235:F238)*25</f>
        <v>100</v>
      </c>
      <c r="F239" s="2230"/>
      <c r="G239" s="2274"/>
      <c r="H239" s="2275"/>
      <c r="I239" s="2275"/>
      <c r="J239" s="2275"/>
      <c r="K239" s="2275"/>
      <c r="L239" s="2275"/>
      <c r="M239"/>
      <c r="N239"/>
      <c r="O239" s="1468"/>
      <c r="P239" s="1468"/>
      <c r="Q239" s="1468"/>
      <c r="R239" s="1468"/>
      <c r="S239" s="1468"/>
      <c r="T239" s="1468"/>
      <c r="U239" s="1468"/>
      <c r="V239" s="334"/>
      <c r="W239" s="334"/>
      <c r="X239" s="334"/>
      <c r="Y239" s="334"/>
      <c r="Z239" s="334"/>
      <c r="AH239" s="2"/>
      <c r="BI239" s="1039"/>
    </row>
    <row r="240" spans="2:61" ht="15" customHeight="1">
      <c r="B240" s="2232"/>
      <c r="C240" s="2232"/>
      <c r="D240" s="2232"/>
      <c r="E240" s="2009"/>
      <c r="F240" s="2010"/>
      <c r="G240" s="2274"/>
      <c r="H240" s="2275"/>
      <c r="I240" s="2275"/>
      <c r="J240" s="2275"/>
      <c r="K240" s="2275"/>
      <c r="L240" s="2275"/>
      <c r="M240"/>
      <c r="N240"/>
      <c r="O240" s="1468"/>
      <c r="P240" s="1468"/>
      <c r="Q240" s="1468"/>
      <c r="R240" s="1468"/>
      <c r="S240" s="1468"/>
      <c r="T240" s="1468"/>
      <c r="U240" s="1468"/>
      <c r="V240" s="334"/>
      <c r="W240" s="334"/>
      <c r="X240" s="334"/>
      <c r="Y240" s="334"/>
      <c r="Z240" s="334"/>
      <c r="AH240" s="2"/>
      <c r="BI240" s="1039"/>
    </row>
    <row r="241" spans="2:67" ht="15" customHeight="1">
      <c r="B241" s="334"/>
      <c r="C241" s="568"/>
      <c r="D241" s="568"/>
      <c r="E241" s="568"/>
      <c r="F241" s="568"/>
      <c r="G241" s="568"/>
      <c r="H241" s="568"/>
      <c r="I241" s="334"/>
      <c r="J241" s="334"/>
      <c r="K241" s="334"/>
      <c r="L241" s="568"/>
      <c r="M241" s="334"/>
      <c r="N241" s="334"/>
      <c r="O241" s="334"/>
      <c r="P241" s="334"/>
      <c r="Q241" s="334"/>
      <c r="R241" s="334"/>
      <c r="S241" s="334"/>
      <c r="T241" s="334"/>
      <c r="U241" s="334"/>
      <c r="V241" s="334"/>
      <c r="W241" s="334"/>
      <c r="X241" s="334"/>
      <c r="Y241" s="334"/>
      <c r="Z241" s="334"/>
      <c r="AA241" s="334"/>
      <c r="AB241" s="334"/>
      <c r="AC241" s="334"/>
      <c r="AD241" s="334"/>
      <c r="AE241" s="334"/>
      <c r="AF241" s="334"/>
      <c r="AJ241" s="1468"/>
    </row>
    <row r="242" spans="2:67" ht="15" customHeight="1">
      <c r="B242" s="334"/>
      <c r="C242" s="2254" t="s">
        <v>63</v>
      </c>
      <c r="D242" s="2254"/>
      <c r="E242" s="2254"/>
      <c r="F242" s="2254"/>
      <c r="G242" s="569">
        <v>1</v>
      </c>
      <c r="H242" s="2255" t="s">
        <v>64</v>
      </c>
      <c r="I242" s="2256"/>
      <c r="J242" s="2256"/>
      <c r="K242" s="2256"/>
      <c r="L242" s="570"/>
      <c r="M242" s="571"/>
      <c r="N242" s="2250" t="s">
        <v>65</v>
      </c>
      <c r="O242" s="2250"/>
      <c r="P242" s="2250"/>
      <c r="Q242" s="2250"/>
      <c r="R242" s="2250"/>
      <c r="S242" s="334"/>
      <c r="T242" s="334"/>
      <c r="U242" s="334"/>
      <c r="V242" s="334"/>
      <c r="W242" s="334"/>
      <c r="X242" s="334"/>
      <c r="Y242" s="334"/>
      <c r="Z242" s="334"/>
      <c r="AA242" s="334"/>
      <c r="AB242" s="334"/>
      <c r="AC242" s="334"/>
      <c r="AD242" s="334"/>
      <c r="AE242" s="334"/>
      <c r="AF242" s="334"/>
    </row>
    <row r="243" spans="2:67" ht="15" customHeight="1">
      <c r="B243" s="334"/>
      <c r="C243" s="649"/>
      <c r="D243" s="649"/>
      <c r="E243" s="649"/>
      <c r="F243" s="649"/>
      <c r="G243" s="650"/>
      <c r="H243" s="650"/>
      <c r="I243" s="650"/>
      <c r="J243" s="650"/>
      <c r="K243" s="650"/>
      <c r="L243" s="650"/>
      <c r="M243" s="650"/>
      <c r="N243" s="650"/>
      <c r="O243" s="650"/>
      <c r="P243" s="650"/>
      <c r="Q243" s="650"/>
      <c r="R243" s="650"/>
      <c r="S243" s="334"/>
      <c r="T243" s="334"/>
      <c r="U243" s="334"/>
      <c r="V243" s="334"/>
      <c r="W243" s="334"/>
      <c r="X243" s="334"/>
      <c r="Y243" s="334"/>
      <c r="Z243" s="334"/>
      <c r="AA243" s="334"/>
      <c r="AB243" s="334"/>
      <c r="AC243" s="334"/>
      <c r="AD243" s="334"/>
      <c r="AE243" s="334"/>
      <c r="AF243" s="334"/>
    </row>
    <row r="244" spans="2:67" ht="15" customHeight="1">
      <c r="B244" s="334"/>
      <c r="C244" s="649"/>
      <c r="D244" s="649"/>
      <c r="E244" s="649"/>
      <c r="F244" s="649"/>
      <c r="G244" s="650"/>
      <c r="H244" s="650"/>
      <c r="I244" s="650"/>
      <c r="J244" s="650"/>
      <c r="K244" s="650"/>
      <c r="L244" s="650"/>
      <c r="M244" s="650"/>
      <c r="N244" s="650"/>
      <c r="O244" s="650"/>
      <c r="P244" s="650"/>
      <c r="Q244" s="650"/>
      <c r="R244" s="650"/>
      <c r="S244" s="334"/>
      <c r="T244" s="334"/>
      <c r="U244" s="334"/>
      <c r="V244" s="334"/>
      <c r="W244" s="334"/>
      <c r="X244" s="334"/>
      <c r="Y244" s="334"/>
      <c r="Z244" s="334"/>
      <c r="AA244" s="334"/>
      <c r="AB244" s="334"/>
      <c r="AC244" s="334"/>
      <c r="AD244" s="334"/>
      <c r="AE244" s="334"/>
      <c r="AF244" s="334"/>
    </row>
    <row r="245" spans="2:67" ht="15" customHeight="1">
      <c r="B245" s="334"/>
      <c r="C245" s="649"/>
      <c r="D245" s="649"/>
      <c r="E245" s="649"/>
      <c r="F245" s="649"/>
      <c r="G245" s="650"/>
      <c r="H245" s="650"/>
      <c r="I245" s="650"/>
      <c r="J245" s="650"/>
      <c r="K245" s="650"/>
      <c r="L245" s="650"/>
      <c r="M245" s="650"/>
      <c r="N245" s="650"/>
      <c r="O245" s="650"/>
      <c r="P245" s="650"/>
      <c r="Q245" s="650"/>
      <c r="R245" s="650"/>
      <c r="S245" s="334"/>
      <c r="T245" s="334"/>
      <c r="U245" s="334"/>
      <c r="V245" s="334"/>
      <c r="W245" s="334"/>
      <c r="X245" s="334"/>
      <c r="Y245" s="334"/>
      <c r="Z245" s="334"/>
      <c r="AA245" s="334"/>
      <c r="AB245" s="334"/>
      <c r="AC245" s="334"/>
      <c r="AD245" s="334"/>
      <c r="AE245" s="334"/>
      <c r="AF245" s="334"/>
    </row>
    <row r="246" spans="2:67" ht="15" customHeight="1">
      <c r="B246" s="334"/>
      <c r="C246" s="649"/>
      <c r="D246" s="649"/>
      <c r="E246" s="649"/>
      <c r="F246" s="649"/>
      <c r="G246" s="650"/>
      <c r="H246" s="650"/>
      <c r="I246" s="650"/>
      <c r="J246" s="650"/>
      <c r="K246" s="650"/>
      <c r="L246" s="650"/>
      <c r="M246" s="650"/>
      <c r="N246" s="650"/>
      <c r="O246" s="650"/>
      <c r="P246" s="650"/>
      <c r="Q246" s="650"/>
      <c r="R246" s="650"/>
      <c r="S246" s="334"/>
      <c r="T246" s="334"/>
      <c r="U246" s="334"/>
      <c r="V246" s="334"/>
      <c r="W246" s="334"/>
      <c r="X246" s="334"/>
      <c r="Y246" s="334"/>
      <c r="Z246" s="334"/>
      <c r="AA246" s="334"/>
      <c r="AB246" s="334"/>
      <c r="AC246" s="334"/>
      <c r="AD246" s="334"/>
      <c r="AE246" s="334"/>
      <c r="AF246" s="334"/>
    </row>
    <row r="247" spans="2:67" ht="15" customHeight="1">
      <c r="B247" s="334"/>
      <c r="C247" s="649"/>
      <c r="D247" s="649"/>
      <c r="E247" s="649"/>
      <c r="F247" s="649"/>
      <c r="G247" s="650"/>
      <c r="H247" s="650"/>
      <c r="I247" s="650"/>
      <c r="J247" s="650"/>
      <c r="K247" s="650"/>
      <c r="L247" s="650"/>
      <c r="M247" s="650"/>
      <c r="N247" s="650"/>
      <c r="O247" s="650"/>
      <c r="P247" s="650"/>
      <c r="Q247" s="650"/>
      <c r="R247" s="650"/>
      <c r="S247" s="334"/>
      <c r="T247" s="334"/>
      <c r="U247" s="334"/>
      <c r="V247" s="334"/>
      <c r="W247" s="334"/>
      <c r="X247" s="334"/>
      <c r="Y247" s="334"/>
      <c r="Z247" s="334"/>
      <c r="AA247" s="334"/>
      <c r="AB247" s="334"/>
      <c r="AC247" s="334"/>
      <c r="AD247" s="334"/>
      <c r="AE247" s="334"/>
      <c r="AF247" s="334"/>
    </row>
    <row r="248" spans="2:67" ht="15" customHeight="1">
      <c r="B248" s="334"/>
      <c r="C248" s="649"/>
      <c r="D248" s="649"/>
      <c r="E248" s="649"/>
      <c r="F248" s="649"/>
      <c r="G248" s="650"/>
      <c r="H248" s="650"/>
      <c r="I248" s="650"/>
      <c r="J248" s="650"/>
      <c r="K248" s="650"/>
      <c r="L248" s="650"/>
      <c r="M248" s="650"/>
      <c r="N248" s="650"/>
      <c r="O248" s="650"/>
      <c r="P248" s="650"/>
      <c r="Q248" s="650"/>
      <c r="R248" s="650"/>
      <c r="S248" s="334"/>
      <c r="T248" s="334"/>
      <c r="U248" s="334"/>
      <c r="V248" s="334"/>
      <c r="W248" s="334"/>
      <c r="X248" s="334"/>
      <c r="Y248" s="334"/>
      <c r="Z248" s="334"/>
      <c r="AA248" s="334"/>
      <c r="AB248" s="334"/>
      <c r="AC248" s="334"/>
      <c r="AD248" s="334"/>
      <c r="AE248" s="334"/>
      <c r="AF248" s="334"/>
    </row>
    <row r="249" spans="2:67" ht="15" customHeight="1">
      <c r="B249" s="334"/>
      <c r="C249" s="649"/>
      <c r="D249" s="649"/>
      <c r="E249" s="649"/>
      <c r="F249" s="649"/>
      <c r="G249" s="650"/>
      <c r="H249" s="650"/>
      <c r="I249" s="650"/>
      <c r="J249" s="650"/>
      <c r="K249" s="650"/>
      <c r="L249" s="650"/>
      <c r="M249" s="650"/>
      <c r="N249" s="650"/>
      <c r="O249" s="650"/>
      <c r="P249" s="650"/>
      <c r="Q249" s="650"/>
      <c r="R249" s="650"/>
      <c r="S249" s="334"/>
      <c r="T249" s="334"/>
      <c r="U249" s="334"/>
      <c r="V249" s="334"/>
      <c r="W249" s="334"/>
      <c r="X249" s="334"/>
      <c r="Y249" s="334"/>
      <c r="Z249" s="334"/>
      <c r="AA249" s="334"/>
      <c r="AB249" s="334"/>
      <c r="AC249" s="334"/>
      <c r="AD249" s="334"/>
      <c r="AE249" s="334"/>
      <c r="AF249" s="334"/>
    </row>
    <row r="250" spans="2:67" ht="15" customHeight="1">
      <c r="B250" s="334"/>
      <c r="C250" s="649"/>
      <c r="D250" s="649"/>
      <c r="E250" s="649"/>
      <c r="F250" s="649"/>
      <c r="G250" s="650"/>
      <c r="H250" s="650"/>
      <c r="I250" s="650"/>
      <c r="J250" s="650"/>
      <c r="K250" s="650"/>
      <c r="L250" s="650"/>
      <c r="M250" s="650"/>
      <c r="N250" s="650"/>
      <c r="O250" s="650"/>
      <c r="P250" s="650"/>
      <c r="Q250" s="650"/>
      <c r="R250" s="650"/>
      <c r="S250" s="334"/>
      <c r="T250" s="334"/>
      <c r="U250" s="334"/>
      <c r="V250" s="334"/>
      <c r="W250" s="334"/>
      <c r="X250" s="334"/>
      <c r="Y250" s="334"/>
      <c r="Z250" s="334"/>
      <c r="AA250" s="334"/>
      <c r="AB250" s="334"/>
      <c r="AC250" s="334"/>
      <c r="AD250" s="334"/>
      <c r="AE250" s="334"/>
      <c r="AF250" s="334"/>
    </row>
    <row r="251" spans="2:67" s="359" customFormat="1" ht="15" customHeight="1">
      <c r="B251" s="354"/>
      <c r="C251" s="355"/>
      <c r="D251" s="355"/>
      <c r="E251" s="355"/>
      <c r="F251" s="355"/>
      <c r="G251" s="356"/>
      <c r="H251" s="356"/>
      <c r="I251" s="356"/>
      <c r="J251" s="356"/>
      <c r="K251" s="356"/>
      <c r="L251" s="357"/>
      <c r="M251" s="356"/>
      <c r="N251" s="358"/>
      <c r="O251" s="358"/>
      <c r="P251" s="358"/>
      <c r="Q251" s="358"/>
      <c r="R251" s="358"/>
      <c r="S251" s="354"/>
      <c r="T251" s="354"/>
      <c r="U251" s="354"/>
      <c r="V251" s="354"/>
      <c r="W251" s="354"/>
      <c r="X251" s="354"/>
      <c r="Y251" s="354"/>
      <c r="Z251" s="354"/>
      <c r="AA251" s="354"/>
      <c r="AB251" s="354"/>
      <c r="AC251" s="354"/>
      <c r="AD251" s="354"/>
      <c r="AE251" s="354"/>
      <c r="AF251" s="354"/>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row>
    <row r="252" spans="2:67" ht="15" customHeight="1">
      <c r="B252" s="334"/>
      <c r="C252" s="2236" t="s">
        <v>935</v>
      </c>
      <c r="D252" s="2236"/>
      <c r="E252" s="2236"/>
      <c r="F252" s="2236"/>
      <c r="G252" s="2236"/>
      <c r="H252" s="2236"/>
      <c r="I252" s="2236"/>
      <c r="J252" s="2236"/>
      <c r="K252" s="2236"/>
      <c r="L252" s="2236"/>
      <c r="M252" s="2236"/>
      <c r="N252" s="2236"/>
      <c r="O252" s="2236"/>
      <c r="P252" s="2236"/>
      <c r="Q252" s="2236"/>
      <c r="R252" s="2236"/>
      <c r="S252" s="2236"/>
      <c r="T252" s="2236"/>
      <c r="U252" s="2236"/>
      <c r="V252" s="2236"/>
      <c r="W252" s="2236"/>
      <c r="X252" s="2236"/>
      <c r="Y252" s="2236"/>
      <c r="Z252" s="2236"/>
      <c r="AA252" s="2236"/>
      <c r="AB252" s="2236"/>
      <c r="AC252" s="2236"/>
      <c r="AD252" s="2236"/>
      <c r="AE252" s="2236"/>
      <c r="AF252" s="334"/>
    </row>
    <row r="253" spans="2:67" ht="15" customHeight="1">
      <c r="B253" s="334"/>
      <c r="C253" s="572"/>
      <c r="D253" s="572"/>
      <c r="E253" s="572"/>
      <c r="F253" s="572"/>
      <c r="G253" s="572"/>
      <c r="H253" s="572"/>
      <c r="I253" s="572"/>
      <c r="J253" s="572"/>
      <c r="K253" s="572"/>
      <c r="L253" s="572"/>
      <c r="M253" s="572"/>
      <c r="N253" s="572"/>
      <c r="O253" s="572"/>
      <c r="P253" s="572"/>
      <c r="Q253" s="572"/>
      <c r="R253" s="572"/>
      <c r="S253" s="572"/>
      <c r="T253" s="572"/>
      <c r="U253" s="572"/>
      <c r="V253" s="572"/>
      <c r="W253" s="572"/>
      <c r="X253" s="572"/>
      <c r="Y253" s="572"/>
      <c r="Z253" s="572"/>
      <c r="AA253" s="572"/>
      <c r="AB253" s="572"/>
      <c r="AC253" s="572"/>
      <c r="AD253" s="572"/>
      <c r="AE253" s="572"/>
      <c r="AF253" s="334"/>
      <c r="AI253" s="1001"/>
    </row>
    <row r="254" spans="2:67" ht="15" customHeight="1">
      <c r="B254" s="334"/>
      <c r="C254" s="570"/>
      <c r="D254" s="570"/>
      <c r="E254" s="570"/>
      <c r="F254" s="570"/>
      <c r="G254" s="570"/>
      <c r="H254" s="570"/>
      <c r="I254" s="570"/>
      <c r="J254" s="2237" t="s">
        <v>66</v>
      </c>
      <c r="K254" s="2238"/>
      <c r="L254" s="2238"/>
      <c r="M254" s="2238"/>
      <c r="N254" s="2239"/>
      <c r="O254" s="2237" t="s">
        <v>23</v>
      </c>
      <c r="P254" s="2238"/>
      <c r="Q254" s="2238"/>
      <c r="R254" s="2238"/>
      <c r="S254" s="2239"/>
      <c r="T254" s="2249" t="s">
        <v>67</v>
      </c>
      <c r="U254" s="2249"/>
      <c r="V254" s="2249"/>
      <c r="W254" s="2249"/>
      <c r="X254" s="2249"/>
      <c r="Y254" s="2249"/>
      <c r="Z254" s="2249"/>
      <c r="AA254" s="2249"/>
      <c r="AB254" s="2249"/>
      <c r="AC254" s="2249"/>
      <c r="AD254" s="2249"/>
      <c r="AE254" s="2249"/>
      <c r="AF254" s="334"/>
      <c r="AJ254" s="919"/>
      <c r="AK254" s="955"/>
      <c r="AL254" s="955"/>
      <c r="AM254" s="955"/>
      <c r="AN254" s="955"/>
      <c r="AO254" s="955"/>
      <c r="AP254" s="955"/>
      <c r="AQ254" s="955"/>
      <c r="AR254" s="955"/>
      <c r="AS254" s="955"/>
      <c r="AT254" s="955"/>
      <c r="AU254" s="955"/>
      <c r="AV254" s="955"/>
      <c r="AW254" s="955"/>
      <c r="AX254" s="955"/>
      <c r="AY254" s="955"/>
      <c r="AZ254" s="955"/>
      <c r="BA254" s="955"/>
      <c r="BB254" s="955"/>
      <c r="BC254" s="955"/>
      <c r="BD254" s="955"/>
      <c r="BE254" s="955"/>
      <c r="BF254" s="955"/>
      <c r="BG254" s="955"/>
      <c r="BH254" s="955"/>
      <c r="BI254" s="955"/>
      <c r="BJ254" s="955"/>
      <c r="BK254" s="955"/>
      <c r="BL254" s="955"/>
      <c r="BM254" s="955"/>
      <c r="BN254" s="955"/>
      <c r="BO254" s="955"/>
    </row>
    <row r="255" spans="2:67" ht="15" customHeight="1">
      <c r="B255" s="334"/>
      <c r="C255" s="2237" t="s">
        <v>64</v>
      </c>
      <c r="D255" s="2238"/>
      <c r="E255" s="2238"/>
      <c r="F255" s="2238"/>
      <c r="G255" s="2238"/>
      <c r="H255" s="2238"/>
      <c r="I255" s="2239"/>
      <c r="J255" s="2240">
        <v>259</v>
      </c>
      <c r="K255" s="2241"/>
      <c r="L255" s="2241"/>
      <c r="M255" s="2241"/>
      <c r="N255" s="2242"/>
      <c r="O255" s="2246">
        <f>T255/J255</f>
        <v>0.93050193050193053</v>
      </c>
      <c r="P255" s="2247"/>
      <c r="Q255" s="2247"/>
      <c r="R255" s="2247"/>
      <c r="S255" s="2248"/>
      <c r="T255" s="2251">
        <v>241</v>
      </c>
      <c r="U255" s="2252"/>
      <c r="V255" s="2252"/>
      <c r="W255" s="2252"/>
      <c r="X255" s="2252"/>
      <c r="Y255" s="2252"/>
      <c r="Z255" s="2252"/>
      <c r="AA255" s="2252"/>
      <c r="AB255" s="2252"/>
      <c r="AC255" s="2252"/>
      <c r="AD255" s="2252"/>
      <c r="AE255" s="2253"/>
      <c r="AF255" s="334"/>
      <c r="AH255" s="1">
        <v>259</v>
      </c>
      <c r="AJ255" s="919"/>
      <c r="AK255" s="955"/>
      <c r="AL255" s="955"/>
      <c r="AM255" s="955"/>
      <c r="AN255" s="955"/>
      <c r="AO255" s="955"/>
      <c r="AP255" s="955"/>
      <c r="AQ255" s="955"/>
      <c r="AR255" s="955"/>
      <c r="AS255" s="955"/>
      <c r="AT255" s="955"/>
      <c r="AU255" s="955"/>
      <c r="AV255" s="955"/>
      <c r="AW255" s="955"/>
      <c r="AX255" s="955"/>
      <c r="AY255" s="955"/>
      <c r="AZ255" s="955"/>
      <c r="BA255" s="955"/>
      <c r="BB255" s="955"/>
      <c r="BC255" s="955"/>
      <c r="BD255" s="955"/>
      <c r="BE255" s="955"/>
      <c r="BF255" s="955"/>
      <c r="BG255" s="955"/>
      <c r="BH255" s="955"/>
      <c r="BI255" s="955"/>
      <c r="BJ255" s="955"/>
      <c r="BK255" s="955"/>
      <c r="BL255" s="955"/>
      <c r="BM255" s="955"/>
      <c r="BN255" s="955"/>
      <c r="BO255" s="955"/>
    </row>
    <row r="256" spans="2:67" ht="15" customHeight="1">
      <c r="B256" s="334"/>
      <c r="C256" s="2237" t="s">
        <v>65</v>
      </c>
      <c r="D256" s="2238"/>
      <c r="E256" s="2238"/>
      <c r="F256" s="2238"/>
      <c r="G256" s="2238"/>
      <c r="H256" s="2238"/>
      <c r="I256" s="2239"/>
      <c r="J256" s="2243"/>
      <c r="K256" s="2244"/>
      <c r="L256" s="2244"/>
      <c r="M256" s="2244"/>
      <c r="N256" s="2245"/>
      <c r="O256" s="2257">
        <f>T256/J255</f>
        <v>6.9498069498069498E-2</v>
      </c>
      <c r="P256" s="2258"/>
      <c r="Q256" s="2258"/>
      <c r="R256" s="2258"/>
      <c r="S256" s="2259"/>
      <c r="T256" s="2233">
        <f>J255-T255</f>
        <v>18</v>
      </c>
      <c r="U256" s="2234"/>
      <c r="V256" s="2234"/>
      <c r="W256" s="2234"/>
      <c r="X256" s="2234"/>
      <c r="Y256" s="2234"/>
      <c r="Z256" s="2234"/>
      <c r="AA256" s="2234"/>
      <c r="AB256" s="2234"/>
      <c r="AC256" s="2234"/>
      <c r="AD256" s="2234"/>
      <c r="AE256" s="2235"/>
      <c r="AF256" s="334"/>
      <c r="AH256" s="1">
        <v>18</v>
      </c>
      <c r="AJ256" s="919"/>
      <c r="AK256" s="955"/>
      <c r="AL256" s="955"/>
      <c r="AM256" s="955"/>
      <c r="AN256" s="955"/>
      <c r="AO256" s="955"/>
      <c r="AP256" s="955"/>
      <c r="AQ256" s="955"/>
      <c r="AR256" s="955"/>
      <c r="AS256" s="955"/>
      <c r="AT256" s="955"/>
      <c r="AU256" s="955"/>
      <c r="AV256" s="955"/>
      <c r="AW256" s="955"/>
      <c r="AX256" s="955"/>
      <c r="AY256" s="955"/>
      <c r="AZ256" s="955"/>
      <c r="BA256" s="955"/>
      <c r="BB256" s="955"/>
      <c r="BC256" s="955"/>
      <c r="BD256" s="955"/>
      <c r="BE256" s="955"/>
      <c r="BF256" s="955"/>
      <c r="BG256" s="955"/>
      <c r="BH256" s="955"/>
      <c r="BI256" s="955"/>
      <c r="BJ256" s="955"/>
      <c r="BK256" s="955"/>
      <c r="BL256" s="955"/>
      <c r="BM256" s="955"/>
      <c r="BN256" s="955"/>
      <c r="BO256" s="955"/>
    </row>
    <row r="257" spans="2:67" ht="15" customHeight="1">
      <c r="B257" s="334"/>
      <c r="C257" s="573"/>
      <c r="D257" s="573"/>
      <c r="E257" s="573"/>
      <c r="F257" s="573"/>
      <c r="G257" s="573"/>
      <c r="H257" s="574"/>
      <c r="I257" s="574"/>
      <c r="J257" s="574"/>
      <c r="K257" s="574"/>
      <c r="L257" s="574"/>
      <c r="M257" s="574"/>
      <c r="N257" s="574"/>
      <c r="O257" s="574"/>
      <c r="P257" s="574"/>
      <c r="Q257" s="574"/>
      <c r="R257" s="574"/>
      <c r="S257" s="574"/>
      <c r="T257" s="574"/>
      <c r="U257" s="574"/>
      <c r="V257" s="574"/>
      <c r="W257" s="574"/>
      <c r="X257" s="574"/>
      <c r="Y257" s="574"/>
      <c r="Z257" s="574"/>
      <c r="AA257" s="574"/>
      <c r="AB257" s="574"/>
      <c r="AC257" s="574"/>
      <c r="AD257" s="574"/>
      <c r="AE257" s="574"/>
      <c r="AF257" s="334"/>
      <c r="AH257" s="1">
        <f>AH255-AH256</f>
        <v>241</v>
      </c>
      <c r="AJ257" s="919"/>
      <c r="AK257" s="955"/>
      <c r="AL257" s="955"/>
      <c r="AM257" s="955"/>
      <c r="AN257" s="955"/>
      <c r="AO257" s="955"/>
      <c r="AP257" s="955"/>
      <c r="AQ257" s="955"/>
      <c r="AR257" s="955"/>
      <c r="AS257" s="955"/>
      <c r="AT257" s="955"/>
      <c r="AU257" s="955"/>
      <c r="AV257" s="955"/>
      <c r="AW257" s="955"/>
      <c r="AX257" s="955"/>
      <c r="AY257" s="955"/>
      <c r="AZ257" s="955"/>
      <c r="BA257" s="955"/>
      <c r="BB257" s="955"/>
      <c r="BC257" s="955"/>
      <c r="BD257" s="955"/>
      <c r="BE257" s="955"/>
      <c r="BF257" s="955"/>
      <c r="BG257" s="955"/>
      <c r="BH257" s="955"/>
      <c r="BI257" s="955"/>
      <c r="BJ257" s="955"/>
      <c r="BK257" s="955"/>
      <c r="BL257" s="955"/>
      <c r="BM257" s="955"/>
      <c r="BN257" s="955"/>
      <c r="BO257" s="955"/>
    </row>
    <row r="258" spans="2:67" ht="15" customHeight="1">
      <c r="B258" s="334"/>
      <c r="C258" s="2276" t="s">
        <v>942</v>
      </c>
      <c r="D258" s="2277"/>
      <c r="E258" s="2277"/>
      <c r="F258" s="2277"/>
      <c r="G258" s="2277"/>
      <c r="H258" s="2277"/>
      <c r="I258" s="2277"/>
      <c r="J258" s="2277"/>
      <c r="K258" s="2277"/>
      <c r="L258" s="2277"/>
      <c r="M258" s="2277"/>
      <c r="N258" s="2277"/>
      <c r="O258" s="2277"/>
      <c r="P258" s="2277"/>
      <c r="Q258" s="2277"/>
      <c r="R258" s="2277"/>
      <c r="S258" s="2277"/>
      <c r="T258" s="2277"/>
      <c r="U258" s="2277"/>
      <c r="V258" s="2277"/>
      <c r="W258" s="2277"/>
      <c r="X258" s="2277"/>
      <c r="Y258" s="2277"/>
      <c r="Z258" s="2277"/>
      <c r="AA258" s="2277"/>
      <c r="AB258" s="2277"/>
      <c r="AC258" s="2277"/>
      <c r="AD258" s="2277"/>
      <c r="AE258" s="2278"/>
      <c r="AF258" s="334"/>
      <c r="AJ258" s="919"/>
      <c r="AK258" s="955"/>
      <c r="AL258" s="955"/>
      <c r="AM258" s="955"/>
      <c r="AN258" s="955"/>
      <c r="AO258" s="955"/>
      <c r="AP258" s="955"/>
      <c r="AQ258" s="955"/>
      <c r="AR258" s="955"/>
      <c r="AS258" s="955"/>
      <c r="AT258" s="955"/>
      <c r="AU258" s="955"/>
      <c r="AV258" s="955"/>
      <c r="AW258" s="955"/>
      <c r="AX258" s="955"/>
      <c r="AY258" s="955"/>
      <c r="AZ258" s="955"/>
      <c r="BA258" s="955"/>
      <c r="BB258" s="955"/>
      <c r="BC258" s="955"/>
      <c r="BD258" s="955"/>
      <c r="BE258" s="955"/>
      <c r="BF258" s="955"/>
      <c r="BG258" s="955"/>
      <c r="BH258" s="955"/>
      <c r="BI258" s="955"/>
      <c r="BJ258" s="955"/>
      <c r="BK258" s="955"/>
      <c r="BL258" s="955"/>
      <c r="BM258" s="955"/>
      <c r="BN258" s="955"/>
      <c r="BO258" s="955"/>
    </row>
    <row r="259" spans="2:67" ht="15" customHeight="1">
      <c r="B259" s="334"/>
      <c r="C259" s="575"/>
      <c r="D259" s="575"/>
      <c r="E259" s="575"/>
      <c r="F259" s="575"/>
      <c r="G259" s="575"/>
      <c r="H259" s="575"/>
      <c r="I259" s="575"/>
      <c r="J259" s="575"/>
      <c r="K259" s="575"/>
      <c r="L259" s="575"/>
      <c r="M259" s="575"/>
      <c r="N259" s="575"/>
      <c r="O259" s="575"/>
      <c r="P259" s="575"/>
      <c r="Q259" s="575"/>
      <c r="R259" s="575"/>
      <c r="S259" s="575"/>
      <c r="T259" s="575"/>
      <c r="U259" s="575"/>
      <c r="V259" s="575"/>
      <c r="W259" s="575"/>
      <c r="X259" s="575"/>
      <c r="Y259" s="575"/>
      <c r="Z259" s="575"/>
      <c r="AA259" s="575"/>
      <c r="AB259" s="575"/>
      <c r="AC259" s="575"/>
      <c r="AD259" s="575"/>
      <c r="AE259" s="575"/>
      <c r="AF259" s="334"/>
      <c r="AJ259" s="919"/>
      <c r="AK259" s="955"/>
      <c r="AL259" s="955"/>
      <c r="AM259" s="955"/>
      <c r="AN259" s="955"/>
      <c r="AO259" s="955"/>
      <c r="AP259" s="955"/>
      <c r="AQ259" s="955"/>
      <c r="AR259" s="955"/>
      <c r="AS259" s="955"/>
      <c r="AT259" s="955"/>
      <c r="AU259" s="955"/>
      <c r="AV259" s="955"/>
      <c r="AW259" s="955"/>
      <c r="AX259" s="955"/>
      <c r="AY259" s="955"/>
      <c r="AZ259" s="955"/>
      <c r="BA259" s="955"/>
      <c r="BB259" s="955"/>
      <c r="BC259" s="955"/>
      <c r="BD259" s="955"/>
      <c r="BE259" s="955"/>
      <c r="BF259" s="955"/>
      <c r="BG259" s="955"/>
      <c r="BH259" s="955"/>
      <c r="BI259" s="955"/>
      <c r="BJ259" s="955"/>
      <c r="BK259" s="955"/>
      <c r="BL259" s="955"/>
      <c r="BM259" s="955"/>
      <c r="BN259" s="955"/>
      <c r="BO259" s="955"/>
    </row>
    <row r="260" spans="2:67" ht="15" customHeight="1">
      <c r="B260" s="334"/>
      <c r="C260" s="570"/>
      <c r="D260" s="570"/>
      <c r="E260" s="570"/>
      <c r="F260" s="570"/>
      <c r="G260" s="570"/>
      <c r="H260" s="570"/>
      <c r="I260" s="570"/>
      <c r="J260" s="2237" t="s">
        <v>66</v>
      </c>
      <c r="K260" s="2238"/>
      <c r="L260" s="2238"/>
      <c r="M260" s="2238"/>
      <c r="N260" s="2239"/>
      <c r="O260" s="2237" t="s">
        <v>23</v>
      </c>
      <c r="P260" s="2238"/>
      <c r="Q260" s="2238"/>
      <c r="R260" s="2238"/>
      <c r="S260" s="2239"/>
      <c r="T260" s="2249" t="s">
        <v>67</v>
      </c>
      <c r="U260" s="2249"/>
      <c r="V260" s="2249"/>
      <c r="W260" s="2249"/>
      <c r="X260" s="2249"/>
      <c r="Y260" s="2249"/>
      <c r="Z260" s="2249"/>
      <c r="AA260" s="2249"/>
      <c r="AB260" s="2249"/>
      <c r="AC260" s="2249"/>
      <c r="AD260" s="2249"/>
      <c r="AE260" s="2249"/>
      <c r="AF260" s="334"/>
      <c r="AJ260" s="919"/>
      <c r="AK260" s="955"/>
      <c r="AL260" s="955"/>
      <c r="AM260" s="955"/>
      <c r="AN260" s="955"/>
      <c r="AO260" s="955"/>
      <c r="AP260" s="955"/>
      <c r="AQ260" s="955"/>
      <c r="AR260" s="955"/>
      <c r="AS260" s="955"/>
      <c r="AT260" s="955"/>
      <c r="AU260" s="955"/>
      <c r="AV260" s="955"/>
      <c r="AW260" s="955"/>
      <c r="AX260" s="955"/>
      <c r="AY260" s="955"/>
      <c r="AZ260" s="955"/>
      <c r="BA260" s="955"/>
      <c r="BB260" s="955"/>
      <c r="BC260" s="955"/>
      <c r="BD260" s="955"/>
      <c r="BE260" s="955"/>
      <c r="BF260" s="955"/>
      <c r="BG260" s="955"/>
      <c r="BH260" s="955"/>
      <c r="BI260" s="955"/>
      <c r="BJ260" s="955"/>
      <c r="BK260" s="955"/>
      <c r="BL260" s="955"/>
      <c r="BM260" s="955"/>
      <c r="BN260" s="955"/>
      <c r="BO260" s="955"/>
    </row>
    <row r="261" spans="2:67" ht="15" customHeight="1">
      <c r="B261" s="334"/>
      <c r="C261" s="2237" t="s">
        <v>64</v>
      </c>
      <c r="D261" s="2238"/>
      <c r="E261" s="2238"/>
      <c r="F261" s="2238"/>
      <c r="G261" s="2238"/>
      <c r="H261" s="2238"/>
      <c r="I261" s="2239"/>
      <c r="J261" s="2279">
        <f>COUNT(E218:AD218,E226:AD226,E234:N234)</f>
        <v>27</v>
      </c>
      <c r="K261" s="2280"/>
      <c r="L261" s="2280"/>
      <c r="M261" s="2280"/>
      <c r="N261" s="2281"/>
      <c r="O261" s="2285">
        <f>T261/J261</f>
        <v>0.96296296296296291</v>
      </c>
      <c r="P261" s="2286"/>
      <c r="Q261" s="2286"/>
      <c r="R261" s="2286"/>
      <c r="S261" s="2287"/>
      <c r="T261" s="2270">
        <f>ROUNDUP((SUM(E223:AD224,E231:AD232,E239:N240)/(J261*100))*(J261),0)</f>
        <v>26</v>
      </c>
      <c r="U261" s="2270"/>
      <c r="V261" s="2270"/>
      <c r="W261" s="2270"/>
      <c r="X261" s="2270"/>
      <c r="Y261" s="2270"/>
      <c r="Z261" s="2270"/>
      <c r="AA261" s="2270"/>
      <c r="AB261" s="2270"/>
      <c r="AC261" s="2270"/>
      <c r="AD261" s="2270"/>
      <c r="AE261" s="2270"/>
      <c r="AF261" s="334"/>
      <c r="AJ261" s="919"/>
      <c r="AK261" s="955"/>
      <c r="AL261" s="955"/>
      <c r="AM261" s="955"/>
      <c r="AN261" s="955"/>
      <c r="AO261" s="955"/>
      <c r="AP261" s="955"/>
      <c r="AQ261" s="955"/>
      <c r="AR261" s="955"/>
      <c r="AS261" s="955"/>
      <c r="AT261" s="955"/>
      <c r="AU261" s="955"/>
      <c r="AV261" s="955"/>
      <c r="AW261" s="955"/>
      <c r="AX261" s="955"/>
      <c r="AY261" s="955"/>
      <c r="AZ261" s="955"/>
      <c r="BA261" s="955"/>
      <c r="BB261" s="955"/>
      <c r="BC261" s="955"/>
      <c r="BD261" s="955"/>
      <c r="BE261" s="955"/>
      <c r="BF261" s="955"/>
      <c r="BG261" s="955"/>
      <c r="BH261" s="955"/>
      <c r="BI261" s="955"/>
      <c r="BJ261" s="955"/>
      <c r="BK261" s="955"/>
      <c r="BL261" s="955"/>
      <c r="BM261" s="955"/>
      <c r="BN261" s="955"/>
      <c r="BO261" s="955"/>
    </row>
    <row r="262" spans="2:67" ht="15" customHeight="1">
      <c r="B262" s="334"/>
      <c r="C262" s="2237" t="s">
        <v>65</v>
      </c>
      <c r="D262" s="2238"/>
      <c r="E262" s="2238"/>
      <c r="F262" s="2238"/>
      <c r="G262" s="2238"/>
      <c r="H262" s="2238"/>
      <c r="I262" s="2239"/>
      <c r="J262" s="2282"/>
      <c r="K262" s="2283"/>
      <c r="L262" s="2283"/>
      <c r="M262" s="2283"/>
      <c r="N262" s="2284"/>
      <c r="O262" s="2257">
        <f>T262/J261</f>
        <v>3.7037037037037035E-2</v>
      </c>
      <c r="P262" s="2258"/>
      <c r="Q262" s="2258"/>
      <c r="R262" s="2258"/>
      <c r="S262" s="2259"/>
      <c r="T262" s="2233">
        <f>J261-T261</f>
        <v>1</v>
      </c>
      <c r="U262" s="2234"/>
      <c r="V262" s="2234"/>
      <c r="W262" s="2234"/>
      <c r="X262" s="2234"/>
      <c r="Y262" s="2234"/>
      <c r="Z262" s="2234"/>
      <c r="AA262" s="2234"/>
      <c r="AB262" s="2234"/>
      <c r="AC262" s="2234"/>
      <c r="AD262" s="2234"/>
      <c r="AE262" s="2235"/>
      <c r="AF262" s="334"/>
      <c r="AJ262" s="919"/>
      <c r="AK262" s="955"/>
      <c r="AL262" s="955"/>
      <c r="AM262" s="955"/>
      <c r="AN262" s="955"/>
      <c r="AO262" s="955"/>
      <c r="AP262" s="955"/>
      <c r="AQ262" s="955"/>
      <c r="AR262" s="955"/>
      <c r="AS262" s="955"/>
      <c r="AT262" s="955"/>
      <c r="AU262" s="955"/>
      <c r="AV262" s="955"/>
      <c r="AW262" s="955"/>
      <c r="AX262" s="955"/>
      <c r="AY262" s="955"/>
      <c r="AZ262" s="955"/>
      <c r="BA262" s="955"/>
      <c r="BB262" s="955"/>
      <c r="BC262" s="955"/>
      <c r="BD262" s="955"/>
      <c r="BE262" s="955"/>
      <c r="BF262" s="955"/>
      <c r="BG262" s="955"/>
      <c r="BH262" s="955"/>
      <c r="BI262" s="955"/>
      <c r="BJ262" s="955"/>
      <c r="BK262" s="955"/>
      <c r="BL262" s="955"/>
      <c r="BM262" s="955"/>
      <c r="BN262" s="955"/>
      <c r="BO262" s="955"/>
    </row>
    <row r="263" spans="2:67" ht="15" customHeight="1">
      <c r="B263" s="334"/>
      <c r="C263" s="576"/>
      <c r="D263" s="576"/>
      <c r="E263" s="576"/>
      <c r="F263" s="576"/>
      <c r="G263" s="576"/>
      <c r="H263" s="576"/>
      <c r="I263" s="576"/>
      <c r="J263" s="576"/>
      <c r="K263" s="576"/>
      <c r="L263" s="576"/>
      <c r="M263" s="576"/>
      <c r="N263" s="576"/>
      <c r="O263" s="576"/>
      <c r="P263" s="576"/>
      <c r="Q263" s="576"/>
      <c r="R263" s="576"/>
      <c r="S263" s="576"/>
      <c r="T263" s="576"/>
      <c r="U263" s="576"/>
      <c r="V263" s="576"/>
      <c r="W263" s="576"/>
      <c r="X263" s="576"/>
      <c r="Y263" s="576"/>
      <c r="Z263" s="576"/>
      <c r="AA263" s="576"/>
      <c r="AB263" s="576"/>
      <c r="AC263" s="576"/>
      <c r="AD263" s="576"/>
      <c r="AE263" s="576"/>
      <c r="AF263" s="334"/>
      <c r="AJ263" s="919"/>
      <c r="AK263" s="955"/>
      <c r="AL263" s="955"/>
      <c r="AM263" s="955"/>
      <c r="AN263" s="955"/>
      <c r="AO263" s="955"/>
      <c r="AP263" s="955"/>
      <c r="AQ263" s="955"/>
      <c r="AR263" s="955"/>
      <c r="AS263" s="955"/>
      <c r="AT263" s="955"/>
      <c r="AU263" s="955"/>
      <c r="AV263" s="955"/>
      <c r="AW263" s="955"/>
      <c r="AX263" s="955"/>
      <c r="AY263" s="955"/>
      <c r="AZ263" s="955"/>
      <c r="BA263" s="955"/>
      <c r="BB263" s="955"/>
      <c r="BC263" s="955"/>
      <c r="BD263" s="955"/>
      <c r="BE263" s="955"/>
      <c r="BF263" s="955"/>
      <c r="BG263" s="955"/>
      <c r="BH263" s="955"/>
      <c r="BI263" s="955"/>
      <c r="BJ263" s="955"/>
      <c r="BK263" s="955"/>
      <c r="BL263" s="955"/>
      <c r="BM263" s="955"/>
      <c r="BN263" s="955"/>
      <c r="BO263" s="955"/>
    </row>
    <row r="264" spans="2:67" ht="15" customHeight="1">
      <c r="B264" s="334"/>
      <c r="C264" s="2236" t="s">
        <v>943</v>
      </c>
      <c r="D264" s="2236"/>
      <c r="E264" s="2236"/>
      <c r="F264" s="2236"/>
      <c r="G264" s="2236"/>
      <c r="H264" s="2236"/>
      <c r="I264" s="2236"/>
      <c r="J264" s="2236"/>
      <c r="K264" s="2236"/>
      <c r="L264" s="2236"/>
      <c r="M264" s="2236"/>
      <c r="N264" s="2236"/>
      <c r="O264" s="2236"/>
      <c r="P264" s="2236"/>
      <c r="Q264" s="2236"/>
      <c r="R264" s="2236"/>
      <c r="S264" s="2236"/>
      <c r="T264" s="2236"/>
      <c r="U264" s="2236"/>
      <c r="V264" s="2236"/>
      <c r="W264" s="2236"/>
      <c r="X264" s="2236"/>
      <c r="Y264" s="2236"/>
      <c r="Z264" s="2236"/>
      <c r="AA264" s="2236"/>
      <c r="AB264" s="2236"/>
      <c r="AC264" s="2236"/>
      <c r="AD264" s="2236"/>
      <c r="AE264" s="2236"/>
      <c r="AF264" s="334"/>
      <c r="AJ264" s="919"/>
      <c r="AK264" s="955"/>
      <c r="AL264" s="955"/>
      <c r="AM264" s="955"/>
      <c r="AN264" s="955"/>
      <c r="AO264" s="955"/>
      <c r="AP264" s="955"/>
      <c r="AQ264" s="955"/>
      <c r="AR264" s="955"/>
      <c r="AS264" s="955"/>
      <c r="AT264" s="955"/>
      <c r="AU264" s="955"/>
      <c r="AV264" s="955"/>
      <c r="AW264" s="955"/>
      <c r="AX264" s="955"/>
      <c r="AY264" s="955"/>
      <c r="AZ264" s="955"/>
      <c r="BA264" s="955"/>
      <c r="BB264" s="955"/>
      <c r="BC264" s="955"/>
      <c r="BD264" s="955"/>
      <c r="BE264" s="955"/>
      <c r="BF264" s="955"/>
      <c r="BG264" s="955"/>
      <c r="BH264" s="955"/>
      <c r="BI264" s="955"/>
      <c r="BJ264" s="955"/>
      <c r="BK264" s="955"/>
      <c r="BL264" s="955"/>
      <c r="BM264" s="955"/>
      <c r="BN264" s="955"/>
      <c r="BO264" s="955"/>
    </row>
    <row r="265" spans="2:67" ht="15" customHeight="1">
      <c r="B265" s="334"/>
      <c r="C265" s="577"/>
      <c r="D265" s="577"/>
      <c r="E265" s="577"/>
      <c r="F265" s="577"/>
      <c r="G265" s="577"/>
      <c r="H265" s="577"/>
      <c r="I265" s="577"/>
      <c r="J265" s="577"/>
      <c r="K265" s="577"/>
      <c r="L265" s="577"/>
      <c r="M265" s="577"/>
      <c r="N265" s="577"/>
      <c r="O265" s="577"/>
      <c r="P265" s="577"/>
      <c r="Q265" s="577"/>
      <c r="R265" s="577"/>
      <c r="S265" s="577"/>
      <c r="T265" s="577"/>
      <c r="U265" s="577"/>
      <c r="V265" s="577"/>
      <c r="W265" s="577"/>
      <c r="X265" s="577"/>
      <c r="Y265" s="577"/>
      <c r="Z265" s="577"/>
      <c r="AA265" s="577"/>
      <c r="AB265" s="577"/>
      <c r="AC265" s="577"/>
      <c r="AD265" s="577"/>
      <c r="AE265" s="577"/>
      <c r="AF265" s="334"/>
      <c r="AJ265" s="919"/>
      <c r="AK265" s="955"/>
      <c r="AL265" s="955"/>
      <c r="AM265" s="955"/>
      <c r="AN265" s="955"/>
      <c r="AO265" s="955"/>
      <c r="AP265" s="955"/>
      <c r="AQ265" s="955"/>
      <c r="AR265" s="955"/>
      <c r="AS265" s="955"/>
      <c r="AT265" s="955"/>
      <c r="AU265" s="955"/>
      <c r="AV265" s="955"/>
      <c r="AW265" s="955"/>
      <c r="AX265" s="955"/>
      <c r="AY265" s="955"/>
      <c r="AZ265" s="955"/>
      <c r="BA265" s="955"/>
      <c r="BB265" s="955"/>
      <c r="BC265" s="955"/>
      <c r="BD265" s="955"/>
      <c r="BE265" s="955"/>
      <c r="BF265" s="955"/>
      <c r="BG265" s="955"/>
      <c r="BH265" s="955"/>
      <c r="BI265" s="955"/>
      <c r="BJ265" s="955"/>
      <c r="BK265" s="955"/>
      <c r="BL265" s="955"/>
      <c r="BM265" s="955"/>
      <c r="BN265" s="955"/>
      <c r="BO265" s="955"/>
    </row>
    <row r="266" spans="2:67" ht="15" customHeight="1">
      <c r="B266" s="334"/>
      <c r="C266" s="570"/>
      <c r="D266" s="570"/>
      <c r="E266" s="570"/>
      <c r="F266" s="570"/>
      <c r="G266" s="570"/>
      <c r="H266" s="570"/>
      <c r="I266" s="570"/>
      <c r="J266" s="2237" t="s">
        <v>66</v>
      </c>
      <c r="K266" s="2238"/>
      <c r="L266" s="2238"/>
      <c r="M266" s="2238"/>
      <c r="N266" s="2239"/>
      <c r="O266" s="2237" t="s">
        <v>23</v>
      </c>
      <c r="P266" s="2238"/>
      <c r="Q266" s="2238"/>
      <c r="R266" s="2238"/>
      <c r="S266" s="2239"/>
      <c r="T266" s="2249" t="s">
        <v>67</v>
      </c>
      <c r="U266" s="2249"/>
      <c r="V266" s="2249"/>
      <c r="W266" s="2249"/>
      <c r="X266" s="2249"/>
      <c r="Y266" s="2249"/>
      <c r="Z266" s="2249"/>
      <c r="AA266" s="2249"/>
      <c r="AB266" s="2249"/>
      <c r="AC266" s="2249"/>
      <c r="AD266" s="2249"/>
      <c r="AE266" s="2249"/>
      <c r="AF266" s="334"/>
      <c r="AI266" s="1001"/>
      <c r="AJ266" s="919"/>
      <c r="AK266" s="955"/>
      <c r="AL266" s="955"/>
      <c r="AM266" s="955"/>
      <c r="AN266" s="955"/>
      <c r="AO266" s="955"/>
      <c r="AP266" s="955"/>
      <c r="AQ266" s="955"/>
      <c r="AR266" s="955"/>
      <c r="AS266" s="955"/>
      <c r="AT266" s="955"/>
      <c r="AU266" s="955"/>
      <c r="AV266" s="955"/>
      <c r="AW266" s="955"/>
      <c r="AX266" s="955"/>
      <c r="AY266" s="955"/>
      <c r="AZ266" s="955"/>
      <c r="BA266" s="955"/>
      <c r="BB266" s="955"/>
      <c r="BC266" s="955"/>
      <c r="BD266" s="955"/>
      <c r="BE266" s="955"/>
      <c r="BF266" s="955"/>
      <c r="BG266" s="955"/>
      <c r="BH266" s="955"/>
      <c r="BI266" s="955"/>
      <c r="BJ266" s="955"/>
      <c r="BK266" s="955"/>
      <c r="BL266" s="955"/>
      <c r="BM266" s="955"/>
      <c r="BN266" s="955"/>
      <c r="BO266" s="955"/>
    </row>
    <row r="267" spans="2:67" ht="15" customHeight="1">
      <c r="B267" s="334"/>
      <c r="C267" s="2237" t="s">
        <v>64</v>
      </c>
      <c r="D267" s="2238"/>
      <c r="E267" s="2238"/>
      <c r="F267" s="2238"/>
      <c r="G267" s="2238"/>
      <c r="H267" s="2238"/>
      <c r="I267" s="2239"/>
      <c r="J267" s="2240">
        <f>J261+J255</f>
        <v>286</v>
      </c>
      <c r="K267" s="2241"/>
      <c r="L267" s="2241"/>
      <c r="M267" s="2241"/>
      <c r="N267" s="2242"/>
      <c r="O267" s="2246">
        <f>T267/J267</f>
        <v>0.93356643356643354</v>
      </c>
      <c r="P267" s="2247"/>
      <c r="Q267" s="2247"/>
      <c r="R267" s="2247"/>
      <c r="S267" s="2248"/>
      <c r="T267" s="2270">
        <f>T255+T261</f>
        <v>267</v>
      </c>
      <c r="U267" s="2270"/>
      <c r="V267" s="2270"/>
      <c r="W267" s="2270"/>
      <c r="X267" s="2270"/>
      <c r="Y267" s="2270"/>
      <c r="Z267" s="2270"/>
      <c r="AA267" s="2270"/>
      <c r="AB267" s="2270"/>
      <c r="AC267" s="2270"/>
      <c r="AD267" s="2270"/>
      <c r="AE267" s="2270"/>
      <c r="AF267" s="334"/>
      <c r="AJ267" s="919"/>
      <c r="AK267" s="955"/>
      <c r="AL267" s="955"/>
      <c r="AM267" s="955"/>
      <c r="AN267" s="955"/>
      <c r="AO267" s="955"/>
      <c r="AP267" s="955"/>
      <c r="AQ267" s="955"/>
      <c r="AR267" s="955"/>
      <c r="AS267" s="955"/>
      <c r="AT267" s="955"/>
      <c r="AU267" s="955"/>
      <c r="AV267" s="955"/>
      <c r="AW267" s="955"/>
      <c r="AX267" s="955"/>
      <c r="AY267" s="955"/>
      <c r="AZ267" s="955"/>
      <c r="BA267" s="955"/>
      <c r="BB267" s="955"/>
      <c r="BC267" s="955"/>
      <c r="BD267" s="955"/>
      <c r="BE267" s="955"/>
      <c r="BF267" s="955"/>
      <c r="BG267" s="955"/>
      <c r="BH267" s="955"/>
      <c r="BI267" s="955"/>
      <c r="BJ267" s="955"/>
      <c r="BK267" s="955"/>
      <c r="BL267" s="955"/>
      <c r="BM267" s="955"/>
      <c r="BN267" s="955"/>
      <c r="BO267" s="955"/>
    </row>
    <row r="268" spans="2:67" ht="15" customHeight="1">
      <c r="B268" s="334"/>
      <c r="C268" s="2237" t="s">
        <v>65</v>
      </c>
      <c r="D268" s="2238"/>
      <c r="E268" s="2238"/>
      <c r="F268" s="2238"/>
      <c r="G268" s="2238"/>
      <c r="H268" s="2238"/>
      <c r="I268" s="2239"/>
      <c r="J268" s="2243"/>
      <c r="K268" s="2244"/>
      <c r="L268" s="2244"/>
      <c r="M268" s="2244"/>
      <c r="N268" s="2245"/>
      <c r="O268" s="2257">
        <f>T268/J267</f>
        <v>6.6433566433566432E-2</v>
      </c>
      <c r="P268" s="2258"/>
      <c r="Q268" s="2258"/>
      <c r="R268" s="2258"/>
      <c r="S268" s="2259"/>
      <c r="T268" s="2270">
        <f>T262+T256</f>
        <v>19</v>
      </c>
      <c r="U268" s="2270"/>
      <c r="V268" s="2270"/>
      <c r="W268" s="2270"/>
      <c r="X268" s="2270"/>
      <c r="Y268" s="2270"/>
      <c r="Z268" s="2270"/>
      <c r="AA268" s="2270"/>
      <c r="AB268" s="2270"/>
      <c r="AC268" s="2270"/>
      <c r="AD268" s="2270"/>
      <c r="AE268" s="2270"/>
      <c r="AF268" s="334"/>
      <c r="AJ268" s="919"/>
      <c r="AK268" s="955"/>
      <c r="AL268" s="955"/>
      <c r="AM268" s="955"/>
      <c r="AN268" s="955"/>
      <c r="AO268" s="955"/>
      <c r="AP268" s="955"/>
      <c r="AQ268" s="955"/>
      <c r="AR268" s="955"/>
      <c r="AS268" s="955"/>
      <c r="AT268" s="955"/>
      <c r="AU268" s="955"/>
      <c r="AV268" s="955"/>
      <c r="AW268" s="955"/>
      <c r="AX268" s="955"/>
      <c r="AY268" s="955"/>
      <c r="AZ268" s="955"/>
      <c r="BA268" s="955"/>
      <c r="BB268" s="955"/>
      <c r="BC268" s="955"/>
      <c r="BD268" s="955"/>
      <c r="BE268" s="955"/>
      <c r="BF268" s="955"/>
      <c r="BG268" s="955"/>
      <c r="BH268" s="955"/>
      <c r="BI268" s="955"/>
      <c r="BJ268" s="955"/>
      <c r="BK268" s="955"/>
      <c r="BL268" s="955"/>
      <c r="BM268" s="955"/>
      <c r="BN268" s="955"/>
      <c r="BO268" s="955"/>
    </row>
    <row r="269" spans="2:67" ht="15" customHeight="1">
      <c r="B269" s="334"/>
      <c r="C269" s="360"/>
      <c r="D269" s="360"/>
      <c r="E269" s="360"/>
      <c r="F269" s="360"/>
      <c r="G269" s="360"/>
      <c r="H269" s="360"/>
      <c r="I269" s="360"/>
      <c r="J269" s="361"/>
      <c r="K269" s="361"/>
      <c r="L269" s="361"/>
      <c r="M269" s="361"/>
      <c r="N269" s="361"/>
      <c r="O269" s="362"/>
      <c r="P269" s="362"/>
      <c r="Q269" s="362"/>
      <c r="R269" s="362"/>
      <c r="S269" s="362"/>
      <c r="T269" s="363"/>
      <c r="U269" s="363"/>
      <c r="V269" s="363"/>
      <c r="W269" s="363"/>
      <c r="X269" s="363"/>
      <c r="Y269" s="363"/>
      <c r="Z269" s="363"/>
      <c r="AA269" s="363"/>
      <c r="AB269" s="363"/>
      <c r="AC269" s="363"/>
      <c r="AD269" s="363"/>
      <c r="AE269" s="363"/>
      <c r="AF269" s="334"/>
    </row>
    <row r="270" spans="2:67" ht="15" customHeight="1" thickBot="1">
      <c r="B270" s="334"/>
      <c r="C270" s="568"/>
      <c r="D270" s="568"/>
      <c r="E270" s="568"/>
      <c r="F270" s="568"/>
      <c r="G270" s="568"/>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c r="AE270" s="334"/>
      <c r="AF270" s="334"/>
    </row>
    <row r="271" spans="2:67" ht="21.75" customHeight="1" thickTop="1">
      <c r="B271" s="1973" t="str">
        <f>$B$76</f>
        <v>Execução das Obras de Macrodrenagem das Ruas Ceciliano Abel de Almeida e Lourenço Sales</v>
      </c>
      <c r="C271" s="1973"/>
      <c r="D271" s="1973"/>
      <c r="E271" s="1973"/>
      <c r="F271" s="1973"/>
      <c r="G271" s="1973"/>
      <c r="H271" s="1973"/>
      <c r="I271" s="1973"/>
      <c r="J271" s="1973"/>
      <c r="K271" s="1973"/>
      <c r="L271" s="1973"/>
      <c r="M271" s="1973"/>
      <c r="N271" s="1973"/>
      <c r="O271" s="1973"/>
      <c r="P271" s="1973"/>
      <c r="Q271" s="1973"/>
      <c r="R271" s="1973"/>
      <c r="S271" s="1973"/>
      <c r="T271" s="1973"/>
      <c r="U271" s="1973"/>
      <c r="V271" s="1973"/>
      <c r="W271" s="1973"/>
      <c r="X271" s="1973"/>
      <c r="Y271" s="1973"/>
      <c r="Z271" s="1973"/>
      <c r="AA271" s="1973"/>
      <c r="AB271" s="1973"/>
      <c r="AC271" s="1973"/>
      <c r="AD271" s="1973"/>
      <c r="AE271" s="1973"/>
      <c r="AF271" s="1973"/>
    </row>
    <row r="272" spans="2:67" s="349" customFormat="1" ht="20.100000000000001" customHeight="1" thickBot="1">
      <c r="B272" s="367" t="str">
        <f t="shared" ref="B272" si="26">$B$1</f>
        <v>Consolidação de Elementos de Medição e Supervisão das Condições Trabalhistas</v>
      </c>
      <c r="C272" s="367"/>
      <c r="D272" s="367"/>
      <c r="E272" s="367"/>
      <c r="F272" s="367"/>
      <c r="G272" s="367"/>
      <c r="H272" s="367"/>
      <c r="I272" s="367"/>
      <c r="J272" s="367"/>
      <c r="K272" s="367"/>
      <c r="L272" s="367"/>
      <c r="M272" s="367"/>
      <c r="N272" s="367"/>
      <c r="O272" s="367"/>
      <c r="P272" s="367"/>
      <c r="Q272" s="367"/>
      <c r="R272" s="367"/>
      <c r="S272" s="367"/>
      <c r="T272" s="367"/>
      <c r="U272" s="367"/>
      <c r="V272" s="367"/>
      <c r="W272" s="367"/>
      <c r="X272" s="367"/>
      <c r="Y272" s="367"/>
      <c r="Z272" s="2271" t="str">
        <f>$AA$1</f>
        <v>CMRF 03/5222-08</v>
      </c>
      <c r="AA272" s="2271"/>
      <c r="AB272" s="2271"/>
      <c r="AC272" s="2271"/>
      <c r="AD272" s="2271"/>
      <c r="AE272" s="2271"/>
      <c r="AF272" s="2271"/>
    </row>
    <row r="273" spans="2:67" ht="15" customHeight="1" thickTop="1">
      <c r="B273" s="645"/>
      <c r="C273" s="645"/>
      <c r="D273" s="645"/>
      <c r="E273" s="645"/>
      <c r="F273" s="645"/>
      <c r="G273" s="645"/>
      <c r="H273" s="645"/>
      <c r="I273" s="645"/>
      <c r="J273" s="645"/>
      <c r="K273" s="645"/>
      <c r="L273" s="645"/>
      <c r="M273" s="645"/>
      <c r="N273" s="645"/>
      <c r="O273" s="645"/>
      <c r="P273" s="645"/>
      <c r="Q273" s="645"/>
      <c r="R273" s="645"/>
      <c r="S273" s="645"/>
      <c r="T273" s="645"/>
      <c r="U273" s="645"/>
      <c r="V273" s="645"/>
      <c r="W273" s="645"/>
      <c r="X273" s="645"/>
      <c r="Y273" s="645"/>
      <c r="Z273" s="645"/>
      <c r="AA273" s="645"/>
      <c r="AB273" s="645"/>
      <c r="AC273" s="645"/>
      <c r="AD273" s="645"/>
      <c r="AE273" s="645"/>
      <c r="AF273" s="645"/>
    </row>
    <row r="274" spans="2:67" ht="15" customHeight="1">
      <c r="B274" s="2062" t="s">
        <v>533</v>
      </c>
      <c r="C274" s="2060"/>
      <c r="D274" s="2060"/>
      <c r="E274" s="2060"/>
      <c r="F274" s="2060"/>
      <c r="G274" s="2060"/>
      <c r="H274" s="2060"/>
      <c r="I274" s="2060"/>
      <c r="J274" s="2060"/>
      <c r="K274" s="2060"/>
      <c r="L274" s="2060"/>
      <c r="M274" s="2060"/>
      <c r="N274" s="2060"/>
      <c r="O274" s="2060"/>
      <c r="P274" s="2060"/>
      <c r="Q274" s="2060"/>
      <c r="R274" s="2060"/>
      <c r="S274" s="2060"/>
      <c r="T274" s="2060"/>
      <c r="U274" s="2060"/>
      <c r="V274" s="2060"/>
      <c r="W274" s="2060"/>
      <c r="X274" s="2060"/>
      <c r="Y274" s="2060"/>
      <c r="Z274" s="2060"/>
      <c r="AA274" s="2060"/>
      <c r="AB274" s="2060"/>
      <c r="AC274" s="2060"/>
      <c r="AD274" s="2060"/>
      <c r="AE274" s="2060"/>
      <c r="AF274" s="2063"/>
    </row>
    <row r="275" spans="2:67" ht="15" customHeight="1">
      <c r="B275" s="2064"/>
      <c r="C275" s="2061"/>
      <c r="D275" s="2061"/>
      <c r="E275" s="2061"/>
      <c r="F275" s="2061"/>
      <c r="G275" s="2061"/>
      <c r="H275" s="2061"/>
      <c r="I275" s="2061"/>
      <c r="J275" s="2061"/>
      <c r="K275" s="2061"/>
      <c r="L275" s="2061"/>
      <c r="M275" s="2061"/>
      <c r="N275" s="2061"/>
      <c r="O275" s="2061"/>
      <c r="P275" s="2061"/>
      <c r="Q275" s="2061"/>
      <c r="R275" s="2061"/>
      <c r="S275" s="2061"/>
      <c r="T275" s="2061"/>
      <c r="U275" s="2061"/>
      <c r="V275" s="2061"/>
      <c r="W275" s="2061"/>
      <c r="X275" s="2061"/>
      <c r="Y275" s="2061"/>
      <c r="Z275" s="2061"/>
      <c r="AA275" s="2061"/>
      <c r="AB275" s="2061"/>
      <c r="AC275" s="2061"/>
      <c r="AD275" s="2061"/>
      <c r="AE275" s="2061"/>
      <c r="AF275" s="2065"/>
    </row>
    <row r="276" spans="2:67" ht="15" customHeight="1">
      <c r="B276" s="365"/>
      <c r="C276" s="365"/>
      <c r="D276" s="365"/>
      <c r="E276" s="365"/>
      <c r="F276" s="365"/>
      <c r="G276" s="365"/>
      <c r="H276" s="365"/>
      <c r="I276" s="365"/>
      <c r="J276" s="365"/>
      <c r="K276" s="365"/>
      <c r="L276" s="365"/>
      <c r="M276" s="365"/>
      <c r="N276" s="365"/>
      <c r="O276" s="365"/>
      <c r="P276" s="365"/>
      <c r="Q276" s="365"/>
      <c r="R276" s="365"/>
      <c r="S276" s="365"/>
      <c r="T276" s="365"/>
      <c r="U276" s="365"/>
      <c r="V276" s="365"/>
      <c r="W276" s="365"/>
      <c r="X276" s="365"/>
      <c r="Y276" s="365"/>
      <c r="Z276" s="365"/>
      <c r="AA276" s="365"/>
      <c r="AB276" s="365"/>
      <c r="AC276" s="365"/>
      <c r="AD276" s="365"/>
      <c r="AE276" s="365"/>
      <c r="AF276" s="365"/>
    </row>
    <row r="277" spans="2:67" ht="15" customHeight="1">
      <c r="B277" s="365"/>
      <c r="C277" s="365"/>
      <c r="D277" s="2260"/>
      <c r="E277" s="2260"/>
      <c r="F277" s="2260"/>
      <c r="G277" s="2260"/>
      <c r="H277" s="2260"/>
      <c r="I277" s="2260"/>
      <c r="J277" s="2260"/>
      <c r="K277" s="2260"/>
      <c r="L277" s="2260"/>
      <c r="M277" s="2260"/>
      <c r="N277" s="2260"/>
      <c r="O277" s="2260"/>
      <c r="P277" s="2260"/>
      <c r="Q277" s="2260"/>
      <c r="R277" s="2260"/>
      <c r="S277" s="2260"/>
      <c r="T277" s="2260"/>
      <c r="U277" s="2260"/>
      <c r="V277" s="2260"/>
      <c r="W277" s="2260"/>
      <c r="X277" s="2260"/>
      <c r="Y277" s="2260"/>
      <c r="Z277" s="2260"/>
      <c r="AA277" s="2260"/>
      <c r="AB277" s="2260"/>
      <c r="AC277" s="2260"/>
      <c r="AD277" s="2260"/>
      <c r="AE277" s="365"/>
      <c r="AF277" s="365"/>
    </row>
    <row r="278" spans="2:67" ht="15" customHeight="1">
      <c r="B278" s="365"/>
      <c r="C278" s="365"/>
      <c r="D278" s="365"/>
      <c r="E278" s="365"/>
      <c r="F278" s="365"/>
      <c r="G278" s="365"/>
      <c r="H278" s="365"/>
      <c r="I278" s="365"/>
      <c r="J278" s="365"/>
      <c r="K278" s="365"/>
      <c r="L278" s="365"/>
      <c r="M278" s="365"/>
      <c r="N278" s="365"/>
      <c r="O278" s="365"/>
      <c r="P278" s="365"/>
      <c r="Q278" s="365"/>
      <c r="R278" s="365"/>
      <c r="S278" s="365"/>
      <c r="T278" s="365"/>
      <c r="U278" s="365"/>
      <c r="V278" s="365"/>
      <c r="W278" s="365"/>
      <c r="X278" s="365"/>
      <c r="Y278" s="365"/>
      <c r="Z278" s="365"/>
      <c r="AA278" s="365"/>
      <c r="AB278" s="365"/>
      <c r="AC278" s="365"/>
      <c r="AD278" s="365"/>
      <c r="AE278" s="365"/>
      <c r="AF278" s="365"/>
    </row>
    <row r="279" spans="2:67" ht="15" customHeight="1">
      <c r="B279" s="645"/>
      <c r="C279" s="645"/>
      <c r="D279" s="645"/>
      <c r="E279" s="645"/>
      <c r="F279" s="645"/>
      <c r="G279" s="645"/>
      <c r="H279" s="645"/>
      <c r="I279" s="645"/>
      <c r="J279" s="645"/>
      <c r="K279" s="645"/>
      <c r="L279" s="645"/>
      <c r="M279" s="645"/>
      <c r="N279" s="645"/>
      <c r="O279" s="645"/>
      <c r="P279" s="645"/>
      <c r="Q279" s="645"/>
      <c r="R279" s="645"/>
      <c r="S279" s="645"/>
      <c r="T279" s="645"/>
      <c r="U279" s="645"/>
      <c r="V279" s="645"/>
      <c r="W279" s="645"/>
      <c r="X279" s="645"/>
      <c r="Y279" s="645"/>
      <c r="Z279" s="645"/>
      <c r="AA279" s="645"/>
      <c r="AB279" s="645"/>
      <c r="AC279" s="645"/>
      <c r="AD279" s="645"/>
      <c r="AE279" s="645"/>
      <c r="AF279" s="645"/>
    </row>
    <row r="280" spans="2:67" ht="15" customHeight="1">
      <c r="B280" s="2051" t="s">
        <v>382</v>
      </c>
      <c r="C280" s="2045"/>
      <c r="D280" s="2045"/>
      <c r="E280" s="2045"/>
      <c r="F280" s="2045"/>
      <c r="G280" s="2045"/>
      <c r="H280" s="2045"/>
      <c r="I280" s="2045"/>
      <c r="J280" s="2045"/>
      <c r="K280" s="2045"/>
      <c r="L280" s="2045"/>
      <c r="M280" s="2045"/>
      <c r="N280" s="2045"/>
      <c r="O280" s="2045"/>
      <c r="P280" s="2046"/>
      <c r="Q280" s="578"/>
      <c r="R280" s="2051" t="s">
        <v>383</v>
      </c>
      <c r="S280" s="2045"/>
      <c r="T280" s="2045"/>
      <c r="U280" s="2045"/>
      <c r="V280" s="2045"/>
      <c r="W280" s="2045"/>
      <c r="X280" s="2045"/>
      <c r="Y280" s="2045"/>
      <c r="Z280" s="2045"/>
      <c r="AA280" s="2045"/>
      <c r="AB280" s="2045"/>
      <c r="AC280" s="2045"/>
      <c r="AD280" s="2045"/>
      <c r="AE280" s="2045"/>
      <c r="AF280" s="2046"/>
      <c r="AP280" s="305"/>
    </row>
    <row r="281" spans="2:67" ht="15" customHeight="1">
      <c r="B281" s="2052"/>
      <c r="C281" s="2047"/>
      <c r="D281" s="2047"/>
      <c r="E281" s="2047"/>
      <c r="F281" s="2047"/>
      <c r="G281" s="2047"/>
      <c r="H281" s="2047"/>
      <c r="I281" s="2047"/>
      <c r="J281" s="2047"/>
      <c r="K281" s="2047"/>
      <c r="L281" s="2047"/>
      <c r="M281" s="2047"/>
      <c r="N281" s="2047"/>
      <c r="O281" s="2047"/>
      <c r="P281" s="2048"/>
      <c r="Q281" s="578"/>
      <c r="R281" s="2052"/>
      <c r="S281" s="2047"/>
      <c r="T281" s="2047"/>
      <c r="U281" s="2047"/>
      <c r="V281" s="2047"/>
      <c r="W281" s="2047"/>
      <c r="X281" s="2047"/>
      <c r="Y281" s="2047"/>
      <c r="Z281" s="2047"/>
      <c r="AA281" s="2047"/>
      <c r="AB281" s="2047"/>
      <c r="AC281" s="2047"/>
      <c r="AD281" s="2047"/>
      <c r="AE281" s="2047"/>
      <c r="AF281" s="2048"/>
      <c r="AK281" s="1465"/>
      <c r="AL281" s="1465"/>
      <c r="AM281" s="1465"/>
      <c r="AN281" s="1465"/>
      <c r="AO281" s="1465"/>
      <c r="AP281" s="1465"/>
      <c r="AQ281" s="1465"/>
      <c r="AR281" s="1465"/>
      <c r="AS281" s="1465"/>
      <c r="AT281" s="1465"/>
      <c r="AU281" s="1465"/>
      <c r="AV281" s="1465"/>
      <c r="AW281" s="1465"/>
      <c r="AX281" s="1465"/>
      <c r="AY281" s="1465"/>
      <c r="AZ281" s="1465"/>
      <c r="BA281" s="1465"/>
      <c r="BB281" s="1465"/>
      <c r="BC281" s="1465"/>
      <c r="BD281" s="1465"/>
      <c r="BE281" s="1465"/>
      <c r="BF281" s="1465"/>
      <c r="BG281" s="1465"/>
      <c r="BH281" s="1465"/>
      <c r="BI281" s="1465"/>
      <c r="BJ281" s="1465"/>
      <c r="BK281" s="1465"/>
      <c r="BL281" s="1465"/>
      <c r="BM281" s="1465"/>
      <c r="BN281" s="1465"/>
      <c r="BO281" s="1465"/>
    </row>
    <row r="282" spans="2:67" ht="15" customHeight="1">
      <c r="B282" s="2052"/>
      <c r="C282" s="2047"/>
      <c r="D282" s="2047"/>
      <c r="E282" s="2047"/>
      <c r="F282" s="2047"/>
      <c r="G282" s="2047"/>
      <c r="H282" s="2047"/>
      <c r="I282" s="2047"/>
      <c r="J282" s="2047"/>
      <c r="K282" s="2047"/>
      <c r="L282" s="2047"/>
      <c r="M282" s="2047"/>
      <c r="N282" s="2047"/>
      <c r="O282" s="2047"/>
      <c r="P282" s="2048"/>
      <c r="Q282" s="578"/>
      <c r="R282" s="2052"/>
      <c r="S282" s="2047"/>
      <c r="T282" s="2047"/>
      <c r="U282" s="2047"/>
      <c r="V282" s="2047"/>
      <c r="W282" s="2047"/>
      <c r="X282" s="2047"/>
      <c r="Y282" s="2047"/>
      <c r="Z282" s="2047"/>
      <c r="AA282" s="2047"/>
      <c r="AB282" s="2047"/>
      <c r="AC282" s="2047"/>
      <c r="AD282" s="2047"/>
      <c r="AE282" s="2047"/>
      <c r="AF282" s="2048"/>
      <c r="AK282" s="1466"/>
      <c r="AL282" s="1466"/>
      <c r="AM282" s="1466"/>
      <c r="AN282" s="1466"/>
      <c r="AO282" s="1466"/>
      <c r="AP282" s="1466"/>
      <c r="AQ282" s="1466"/>
      <c r="AR282" s="1466"/>
      <c r="AS282" s="1466"/>
      <c r="AT282" s="1466"/>
      <c r="AU282" s="1466"/>
      <c r="AV282" s="1466"/>
      <c r="AW282" s="1466"/>
      <c r="AX282" s="1466"/>
      <c r="AY282" s="1466"/>
      <c r="AZ282" s="1466"/>
      <c r="BA282" s="1466"/>
      <c r="BB282" s="1466"/>
      <c r="BC282" s="1466"/>
      <c r="BD282" s="1466"/>
      <c r="BE282" s="1466"/>
      <c r="BF282" s="1466"/>
      <c r="BG282" s="1466"/>
      <c r="BH282" s="1466"/>
      <c r="BI282" s="1466"/>
      <c r="BJ282" s="1466"/>
      <c r="BK282" s="1466"/>
      <c r="BL282" s="1466"/>
      <c r="BM282" s="1466"/>
      <c r="BN282" s="1466"/>
      <c r="BO282" s="1466"/>
    </row>
    <row r="283" spans="2:67" ht="15" customHeight="1">
      <c r="B283" s="2052"/>
      <c r="C283" s="2047"/>
      <c r="D283" s="2047"/>
      <c r="E283" s="2047"/>
      <c r="F283" s="2047"/>
      <c r="G283" s="2047"/>
      <c r="H283" s="2047"/>
      <c r="I283" s="2047"/>
      <c r="J283" s="2047"/>
      <c r="K283" s="2047"/>
      <c r="L283" s="2047"/>
      <c r="M283" s="2047"/>
      <c r="N283" s="2047"/>
      <c r="O283" s="2047"/>
      <c r="P283" s="2048"/>
      <c r="Q283" s="578"/>
      <c r="R283" s="2052"/>
      <c r="S283" s="2047"/>
      <c r="T283" s="2047"/>
      <c r="U283" s="2047"/>
      <c r="V283" s="2047"/>
      <c r="W283" s="2047"/>
      <c r="X283" s="2047"/>
      <c r="Y283" s="2047"/>
      <c r="Z283" s="2047"/>
      <c r="AA283" s="2047"/>
      <c r="AB283" s="2047"/>
      <c r="AC283" s="2047"/>
      <c r="AD283" s="2047"/>
      <c r="AE283" s="2047"/>
      <c r="AF283" s="2048"/>
      <c r="AK283" s="1466"/>
      <c r="AL283" s="1466"/>
      <c r="AM283" s="1466"/>
      <c r="AN283" s="1466"/>
      <c r="AO283" s="1466"/>
      <c r="AP283" s="1466"/>
      <c r="AQ283" s="1466"/>
      <c r="AR283" s="1466"/>
      <c r="AS283" s="1466"/>
      <c r="AT283" s="1466"/>
      <c r="AU283" s="1466"/>
      <c r="AV283" s="1466"/>
      <c r="AW283" s="1466"/>
      <c r="AX283" s="1466"/>
      <c r="AY283" s="1466"/>
      <c r="AZ283" s="1466"/>
      <c r="BA283" s="1466"/>
      <c r="BB283" s="1466"/>
      <c r="BC283" s="1466"/>
      <c r="BD283" s="1466"/>
      <c r="BE283" s="1466"/>
      <c r="BF283" s="1466"/>
      <c r="BG283" s="1466"/>
      <c r="BH283" s="1466"/>
      <c r="BI283" s="1466"/>
      <c r="BJ283" s="1466"/>
      <c r="BK283" s="1466"/>
      <c r="BL283" s="1466"/>
      <c r="BM283" s="1466"/>
      <c r="BN283" s="1466"/>
      <c r="BO283" s="1466"/>
    </row>
    <row r="284" spans="2:67" ht="15" customHeight="1">
      <c r="B284" s="2052"/>
      <c r="C284" s="2047"/>
      <c r="D284" s="2047"/>
      <c r="E284" s="2047"/>
      <c r="F284" s="2047"/>
      <c r="G284" s="2047"/>
      <c r="H284" s="2047"/>
      <c r="I284" s="2047"/>
      <c r="J284" s="2047"/>
      <c r="K284" s="2047"/>
      <c r="L284" s="2047"/>
      <c r="M284" s="2047"/>
      <c r="N284" s="2047"/>
      <c r="O284" s="2047"/>
      <c r="P284" s="2048"/>
      <c r="Q284" s="578"/>
      <c r="R284" s="2052"/>
      <c r="S284" s="2047"/>
      <c r="T284" s="2047"/>
      <c r="U284" s="2047"/>
      <c r="V284" s="2047"/>
      <c r="W284" s="2047"/>
      <c r="X284" s="2047"/>
      <c r="Y284" s="2047"/>
      <c r="Z284" s="2047"/>
      <c r="AA284" s="2047"/>
      <c r="AB284" s="2047"/>
      <c r="AC284" s="2047"/>
      <c r="AD284" s="2047"/>
      <c r="AE284" s="2047"/>
      <c r="AF284" s="2048"/>
      <c r="AK284" s="1465"/>
      <c r="AL284" s="1465"/>
      <c r="AM284" s="1465"/>
      <c r="AN284" s="1465"/>
      <c r="AO284" s="1465"/>
      <c r="AP284" s="1465"/>
      <c r="AQ284" s="1465"/>
      <c r="AR284" s="1465"/>
      <c r="AS284" s="1465"/>
      <c r="AT284" s="1465"/>
      <c r="AU284" s="1465"/>
      <c r="AV284" s="1465"/>
      <c r="AW284" s="1465"/>
      <c r="AX284" s="1465"/>
      <c r="AY284" s="1465"/>
      <c r="AZ284" s="1465"/>
      <c r="BA284" s="1465"/>
      <c r="BB284" s="1465"/>
      <c r="BC284" s="1465"/>
      <c r="BD284" s="1465"/>
      <c r="BE284" s="1465"/>
      <c r="BF284" s="1465"/>
      <c r="BG284" s="1465"/>
      <c r="BH284" s="1465"/>
      <c r="BI284" s="1465"/>
      <c r="BJ284" s="1465"/>
      <c r="BK284" s="1465"/>
      <c r="BL284" s="1465"/>
      <c r="BM284" s="1465"/>
      <c r="BN284" s="1465"/>
      <c r="BO284" s="1465"/>
    </row>
    <row r="285" spans="2:67" ht="15" customHeight="1">
      <c r="B285" s="2052"/>
      <c r="C285" s="2047"/>
      <c r="D285" s="2047"/>
      <c r="E285" s="2047"/>
      <c r="F285" s="2047"/>
      <c r="G285" s="2047"/>
      <c r="H285" s="2047"/>
      <c r="I285" s="2047"/>
      <c r="J285" s="2047"/>
      <c r="K285" s="2047"/>
      <c r="L285" s="2047"/>
      <c r="M285" s="2047"/>
      <c r="N285" s="2047"/>
      <c r="O285" s="2047"/>
      <c r="P285" s="2048"/>
      <c r="Q285" s="578"/>
      <c r="R285" s="2052"/>
      <c r="S285" s="2047"/>
      <c r="T285" s="2047"/>
      <c r="U285" s="2047"/>
      <c r="V285" s="2047"/>
      <c r="W285" s="2047"/>
      <c r="X285" s="2047"/>
      <c r="Y285" s="2047"/>
      <c r="Z285" s="2047"/>
      <c r="AA285" s="2047"/>
      <c r="AB285" s="2047"/>
      <c r="AC285" s="2047"/>
      <c r="AD285" s="2047"/>
      <c r="AE285" s="2047"/>
      <c r="AF285" s="2048"/>
      <c r="AK285" s="1466"/>
      <c r="AL285" s="1466"/>
      <c r="AM285" s="1466"/>
      <c r="AN285" s="1466"/>
      <c r="AO285" s="1466"/>
      <c r="AP285" s="1466"/>
      <c r="AQ285" s="1466"/>
      <c r="AR285" s="1466"/>
      <c r="AS285" s="1466"/>
      <c r="AT285" s="1466"/>
      <c r="AU285" s="1466"/>
      <c r="AV285" s="1466"/>
      <c r="AW285" s="1466"/>
      <c r="AX285" s="1466"/>
      <c r="AY285" s="1466"/>
      <c r="AZ285" s="1466"/>
      <c r="BA285" s="1466"/>
      <c r="BB285" s="1466"/>
      <c r="BC285" s="1466"/>
      <c r="BD285" s="1466"/>
      <c r="BE285" s="1466"/>
      <c r="BF285" s="1466"/>
      <c r="BG285" s="1466"/>
      <c r="BH285" s="1466"/>
      <c r="BI285" s="1466"/>
      <c r="BJ285" s="1466"/>
      <c r="BK285" s="1466"/>
      <c r="BL285" s="1466"/>
      <c r="BM285" s="1466"/>
      <c r="BN285" s="1466"/>
      <c r="BO285" s="1466"/>
    </row>
    <row r="286" spans="2:67" ht="15" customHeight="1">
      <c r="B286" s="2052"/>
      <c r="C286" s="2047"/>
      <c r="D286" s="2047"/>
      <c r="E286" s="2047"/>
      <c r="F286" s="2047"/>
      <c r="G286" s="2047"/>
      <c r="H286" s="2047"/>
      <c r="I286" s="2047"/>
      <c r="J286" s="2047"/>
      <c r="K286" s="2047"/>
      <c r="L286" s="2047"/>
      <c r="M286" s="2047"/>
      <c r="N286" s="2047"/>
      <c r="O286" s="2047"/>
      <c r="P286" s="2048"/>
      <c r="Q286" s="578"/>
      <c r="R286" s="2052"/>
      <c r="S286" s="2047"/>
      <c r="T286" s="2047"/>
      <c r="U286" s="2047"/>
      <c r="V286" s="2047"/>
      <c r="W286" s="2047"/>
      <c r="X286" s="2047"/>
      <c r="Y286" s="2047"/>
      <c r="Z286" s="2047"/>
      <c r="AA286" s="2047"/>
      <c r="AB286" s="2047"/>
      <c r="AC286" s="2047"/>
      <c r="AD286" s="2047"/>
      <c r="AE286" s="2047"/>
      <c r="AF286" s="2048"/>
      <c r="AK286" s="1466"/>
      <c r="AL286" s="1466"/>
      <c r="AM286" s="1466"/>
      <c r="AN286" s="1466"/>
      <c r="AO286" s="1466"/>
      <c r="AP286" s="1466"/>
      <c r="AQ286" s="1466"/>
      <c r="AR286" s="1466"/>
      <c r="AS286" s="1466"/>
      <c r="AT286" s="1466"/>
      <c r="AU286" s="1466"/>
      <c r="AV286" s="1466"/>
      <c r="AW286" s="1466"/>
      <c r="AX286" s="1466"/>
      <c r="AY286" s="1466"/>
      <c r="AZ286" s="1466"/>
      <c r="BA286" s="1466"/>
      <c r="BB286" s="1466"/>
      <c r="BC286" s="1466"/>
      <c r="BD286" s="1466"/>
      <c r="BE286" s="1466"/>
      <c r="BF286" s="1466"/>
      <c r="BG286" s="1466"/>
      <c r="BH286" s="1466"/>
      <c r="BI286" s="1466"/>
      <c r="BJ286" s="1466"/>
      <c r="BK286" s="1466"/>
      <c r="BL286" s="1466"/>
      <c r="BM286" s="1466"/>
      <c r="BN286" s="1466"/>
      <c r="BO286" s="1466"/>
    </row>
    <row r="287" spans="2:67" ht="15" customHeight="1">
      <c r="B287" s="2052"/>
      <c r="C287" s="2047"/>
      <c r="D287" s="2047"/>
      <c r="E287" s="2047"/>
      <c r="F287" s="2047"/>
      <c r="G287" s="2047"/>
      <c r="H287" s="2047"/>
      <c r="I287" s="2047"/>
      <c r="J287" s="2047"/>
      <c r="K287" s="2047"/>
      <c r="L287" s="2047"/>
      <c r="M287" s="2047"/>
      <c r="N287" s="2047"/>
      <c r="O287" s="2047"/>
      <c r="P287" s="2048"/>
      <c r="Q287" s="578"/>
      <c r="R287" s="2052"/>
      <c r="S287" s="2047"/>
      <c r="T287" s="2047"/>
      <c r="U287" s="2047"/>
      <c r="V287" s="2047"/>
      <c r="W287" s="2047"/>
      <c r="X287" s="2047"/>
      <c r="Y287" s="2047"/>
      <c r="Z287" s="2047"/>
      <c r="AA287" s="2047"/>
      <c r="AB287" s="2047"/>
      <c r="AC287" s="2047"/>
      <c r="AD287" s="2047"/>
      <c r="AE287" s="2047"/>
      <c r="AF287" s="2048"/>
      <c r="AK287" s="1466"/>
      <c r="AL287" s="1466"/>
      <c r="AM287" s="1466"/>
      <c r="AN287" s="1466"/>
      <c r="AO287" s="1466"/>
      <c r="AP287" s="1467"/>
      <c r="AQ287" s="1466"/>
      <c r="AR287" s="1466"/>
      <c r="AS287" s="1466"/>
      <c r="AT287" s="1466"/>
      <c r="AU287" s="1466"/>
      <c r="AV287" s="1466"/>
      <c r="AW287" s="1466"/>
      <c r="AX287" s="1466"/>
      <c r="AY287" s="1466"/>
      <c r="AZ287" s="1466"/>
      <c r="BA287" s="1466"/>
      <c r="BB287" s="1466"/>
      <c r="BC287" s="1466"/>
      <c r="BD287" s="1466"/>
      <c r="BE287" s="1466"/>
      <c r="BF287" s="1466"/>
      <c r="BG287" s="1466"/>
      <c r="BH287" s="1466"/>
      <c r="BI287" s="1466"/>
      <c r="BJ287" s="1466"/>
      <c r="BK287" s="1466"/>
      <c r="BL287" s="1466"/>
      <c r="BM287" s="1466"/>
      <c r="BN287" s="1466"/>
      <c r="BO287" s="1466"/>
    </row>
    <row r="288" spans="2:67" ht="15" customHeight="1">
      <c r="B288" s="2052"/>
      <c r="C288" s="2047"/>
      <c r="D288" s="2047"/>
      <c r="E288" s="2047"/>
      <c r="F288" s="2047"/>
      <c r="G288" s="2047"/>
      <c r="H288" s="2047"/>
      <c r="I288" s="2047"/>
      <c r="J288" s="2047"/>
      <c r="K288" s="2047"/>
      <c r="L288" s="2047"/>
      <c r="M288" s="2047"/>
      <c r="N288" s="2047"/>
      <c r="O288" s="2047"/>
      <c r="P288" s="2048"/>
      <c r="Q288" s="578"/>
      <c r="R288" s="2052"/>
      <c r="S288" s="2047"/>
      <c r="T288" s="2047"/>
      <c r="U288" s="2047"/>
      <c r="V288" s="2047"/>
      <c r="W288" s="2047"/>
      <c r="X288" s="2047"/>
      <c r="Y288" s="2047"/>
      <c r="Z288" s="2047"/>
      <c r="AA288" s="2047"/>
      <c r="AB288" s="2047"/>
      <c r="AC288" s="2047"/>
      <c r="AD288" s="2047"/>
      <c r="AE288" s="2047"/>
      <c r="AF288" s="2048"/>
      <c r="AK288" s="1466"/>
      <c r="AL288" s="1466"/>
      <c r="AM288" s="1466"/>
      <c r="AN288" s="1466"/>
      <c r="AO288" s="1466"/>
      <c r="AP288" s="1466"/>
      <c r="AQ288" s="1466"/>
      <c r="AR288" s="1466"/>
      <c r="AS288" s="1466"/>
      <c r="AT288" s="1466"/>
      <c r="AU288" s="1466"/>
      <c r="AV288" s="1466"/>
      <c r="AW288" s="1466"/>
      <c r="AX288" s="1466"/>
      <c r="AY288" s="1466"/>
      <c r="AZ288" s="1466"/>
      <c r="BA288" s="1466"/>
      <c r="BB288" s="1466"/>
      <c r="BC288" s="1466"/>
      <c r="BD288" s="1466"/>
      <c r="BE288" s="1466"/>
      <c r="BF288" s="1466"/>
      <c r="BG288" s="1466"/>
      <c r="BH288" s="1466"/>
      <c r="BI288" s="1466"/>
      <c r="BJ288" s="1466"/>
      <c r="BK288" s="1466"/>
      <c r="BL288" s="1466"/>
      <c r="BM288" s="1466"/>
      <c r="BN288" s="1466"/>
      <c r="BO288" s="1466"/>
    </row>
    <row r="289" spans="2:67" ht="15" customHeight="1">
      <c r="B289" s="2052"/>
      <c r="C289" s="2047"/>
      <c r="D289" s="2047"/>
      <c r="E289" s="2047"/>
      <c r="F289" s="2047"/>
      <c r="G289" s="2047"/>
      <c r="H289" s="2047"/>
      <c r="I289" s="2047"/>
      <c r="J289" s="2047"/>
      <c r="K289" s="2047"/>
      <c r="L289" s="2047"/>
      <c r="M289" s="2047"/>
      <c r="N289" s="2047"/>
      <c r="O289" s="2047"/>
      <c r="P289" s="2048"/>
      <c r="Q289" s="578"/>
      <c r="R289" s="2052"/>
      <c r="S289" s="2047"/>
      <c r="T289" s="2047"/>
      <c r="U289" s="2047"/>
      <c r="V289" s="2047"/>
      <c r="W289" s="2047"/>
      <c r="X289" s="2047"/>
      <c r="Y289" s="2047"/>
      <c r="Z289" s="2047"/>
      <c r="AA289" s="2047"/>
      <c r="AB289" s="2047"/>
      <c r="AC289" s="2047"/>
      <c r="AD289" s="2047"/>
      <c r="AE289" s="2047"/>
      <c r="AF289" s="2048"/>
      <c r="AK289" s="1466"/>
      <c r="AL289" s="1466"/>
      <c r="AM289" s="1466"/>
      <c r="AN289" s="1466"/>
      <c r="AO289" s="1466"/>
      <c r="AP289" s="1466"/>
      <c r="AQ289" s="1466"/>
      <c r="AR289" s="1466"/>
      <c r="AS289" s="1466"/>
      <c r="AT289" s="1466"/>
      <c r="AU289" s="1466"/>
      <c r="AV289" s="1466"/>
      <c r="AW289" s="1466"/>
      <c r="AX289" s="1466"/>
      <c r="AY289" s="1466"/>
      <c r="AZ289" s="1466"/>
      <c r="BA289" s="1466"/>
      <c r="BB289" s="1466"/>
      <c r="BC289" s="1466"/>
      <c r="BD289" s="1466"/>
      <c r="BE289" s="1466"/>
      <c r="BF289" s="1466"/>
      <c r="BG289" s="1466"/>
      <c r="BH289" s="1466"/>
      <c r="BI289" s="1466"/>
      <c r="BJ289" s="1466"/>
      <c r="BK289" s="1466"/>
      <c r="BL289" s="1466"/>
      <c r="BM289" s="1466"/>
      <c r="BN289" s="1466"/>
      <c r="BO289" s="1466"/>
    </row>
    <row r="290" spans="2:67" ht="15" customHeight="1">
      <c r="B290" s="2052"/>
      <c r="C290" s="2047"/>
      <c r="D290" s="2047"/>
      <c r="E290" s="2047"/>
      <c r="F290" s="2047"/>
      <c r="G290" s="2047"/>
      <c r="H290" s="2047"/>
      <c r="I290" s="2047"/>
      <c r="J290" s="2047"/>
      <c r="K290" s="2047"/>
      <c r="L290" s="2047"/>
      <c r="M290" s="2047"/>
      <c r="N290" s="2047"/>
      <c r="O290" s="2047"/>
      <c r="P290" s="2048"/>
      <c r="Q290" s="578"/>
      <c r="R290" s="2052"/>
      <c r="S290" s="2047"/>
      <c r="T290" s="2047"/>
      <c r="U290" s="2047"/>
      <c r="V290" s="2047"/>
      <c r="W290" s="2047"/>
      <c r="X290" s="2047"/>
      <c r="Y290" s="2047"/>
      <c r="Z290" s="2047"/>
      <c r="AA290" s="2047"/>
      <c r="AB290" s="2047"/>
      <c r="AC290" s="2047"/>
      <c r="AD290" s="2047"/>
      <c r="AE290" s="2047"/>
      <c r="AF290" s="2048"/>
      <c r="AJ290"/>
      <c r="AK290" s="1465"/>
      <c r="AL290" s="1465"/>
      <c r="AM290" s="1465"/>
      <c r="AN290" s="1465"/>
      <c r="AO290" s="1465"/>
      <c r="AP290" s="1465"/>
      <c r="AQ290" s="1465"/>
      <c r="AR290" s="1465"/>
      <c r="AS290" s="1465"/>
      <c r="AT290" s="1465"/>
      <c r="AU290" s="1465"/>
      <c r="AV290" s="1465"/>
      <c r="AW290" s="1465"/>
      <c r="AX290" s="1465"/>
      <c r="AY290" s="1465"/>
      <c r="AZ290" s="1465"/>
      <c r="BA290" s="1465"/>
      <c r="BB290" s="1465"/>
      <c r="BC290" s="1465"/>
      <c r="BD290" s="1465"/>
      <c r="BE290" s="1465"/>
      <c r="BF290" s="1465"/>
      <c r="BG290" s="1465"/>
      <c r="BH290" s="1465"/>
      <c r="BI290" s="1465"/>
      <c r="BJ290" s="1465"/>
      <c r="BK290" s="1465"/>
      <c r="BL290" s="1465"/>
      <c r="BM290" s="1465"/>
      <c r="BN290" s="1465"/>
      <c r="BO290" s="1465"/>
    </row>
    <row r="291" spans="2:67" ht="15" customHeight="1">
      <c r="B291" s="2053"/>
      <c r="C291" s="2049"/>
      <c r="D291" s="2049"/>
      <c r="E291" s="2049"/>
      <c r="F291" s="2049"/>
      <c r="G291" s="2049"/>
      <c r="H291" s="2049"/>
      <c r="I291" s="2049"/>
      <c r="J291" s="2049"/>
      <c r="K291" s="2049"/>
      <c r="L291" s="2049"/>
      <c r="M291" s="2049"/>
      <c r="N291" s="2049"/>
      <c r="O291" s="2049"/>
      <c r="P291" s="2050"/>
      <c r="Q291" s="578"/>
      <c r="R291" s="2053"/>
      <c r="S291" s="2049"/>
      <c r="T291" s="2049"/>
      <c r="U291" s="2049"/>
      <c r="V291" s="2049"/>
      <c r="W291" s="2049"/>
      <c r="X291" s="2049"/>
      <c r="Y291" s="2049"/>
      <c r="Z291" s="2049"/>
      <c r="AA291" s="2049"/>
      <c r="AB291" s="2049"/>
      <c r="AC291" s="2049"/>
      <c r="AD291" s="2049"/>
      <c r="AE291" s="2049"/>
      <c r="AF291" s="2050"/>
      <c r="AK291" s="1466"/>
      <c r="AL291" s="1466"/>
      <c r="AM291" s="1466"/>
      <c r="AN291" s="1466"/>
      <c r="AO291" s="1466"/>
      <c r="AP291" s="1466"/>
      <c r="AQ291" s="1466"/>
      <c r="AR291" s="1466"/>
      <c r="AS291" s="1466"/>
      <c r="AT291" s="1466"/>
      <c r="AU291" s="1466"/>
      <c r="AV291" s="1466"/>
      <c r="AW291" s="1466"/>
      <c r="AX291" s="1466"/>
      <c r="AY291" s="1466"/>
      <c r="AZ291" s="1466"/>
      <c r="BA291" s="1466"/>
      <c r="BB291" s="1466"/>
      <c r="BC291" s="1466"/>
      <c r="BD291" s="1466"/>
      <c r="BE291" s="1466"/>
      <c r="BF291" s="1466"/>
      <c r="BG291" s="1466"/>
      <c r="BH291" s="1466"/>
      <c r="BI291" s="1466"/>
      <c r="BJ291" s="1466"/>
      <c r="BK291" s="1466"/>
      <c r="BL291" s="1466"/>
      <c r="BM291" s="1466"/>
      <c r="BN291" s="1466"/>
      <c r="BO291" s="1466"/>
    </row>
    <row r="292" spans="2:67" ht="15" customHeight="1">
      <c r="B292" s="645"/>
      <c r="C292" s="645"/>
      <c r="D292" s="645"/>
      <c r="E292" s="645"/>
      <c r="F292" s="645"/>
      <c r="G292" s="645"/>
      <c r="H292" s="645"/>
      <c r="I292" s="645"/>
      <c r="J292" s="645"/>
      <c r="K292" s="645"/>
      <c r="L292" s="645"/>
      <c r="M292" s="645"/>
      <c r="N292" s="645"/>
      <c r="O292" s="645"/>
      <c r="P292" s="645"/>
      <c r="Q292" s="645"/>
      <c r="R292" s="645"/>
      <c r="S292" s="645"/>
      <c r="T292" s="645"/>
      <c r="U292" s="645"/>
      <c r="V292" s="645"/>
      <c r="W292" s="645"/>
      <c r="X292" s="645"/>
      <c r="Y292" s="645"/>
      <c r="Z292" s="645"/>
      <c r="AA292" s="645"/>
      <c r="AB292" s="645"/>
      <c r="AC292" s="645"/>
      <c r="AD292" s="645"/>
      <c r="AE292" s="645"/>
      <c r="AF292" s="645"/>
      <c r="AK292" s="1466"/>
      <c r="AL292" s="1466"/>
      <c r="AM292" s="1466"/>
      <c r="AN292" s="1466"/>
      <c r="AO292" s="1466"/>
      <c r="AP292" s="1466"/>
      <c r="AQ292" s="1466"/>
      <c r="AR292" s="1466"/>
      <c r="AS292" s="1466"/>
      <c r="AT292" s="1466"/>
      <c r="AU292" s="1466"/>
      <c r="AV292" s="1466"/>
      <c r="AW292" s="1466"/>
      <c r="AX292" s="1466"/>
      <c r="AY292" s="1466"/>
      <c r="AZ292" s="1466"/>
      <c r="BA292" s="1466"/>
      <c r="BB292" s="1466"/>
      <c r="BC292" s="1466"/>
      <c r="BD292" s="1466"/>
      <c r="BE292" s="1466"/>
      <c r="BF292" s="1466"/>
      <c r="BG292" s="1466"/>
      <c r="BH292" s="1466"/>
      <c r="BI292" s="1466"/>
      <c r="BJ292" s="1466"/>
      <c r="BK292" s="1466"/>
      <c r="BL292" s="1466"/>
      <c r="BM292" s="1466"/>
      <c r="BN292" s="1466"/>
      <c r="BO292" s="1466"/>
    </row>
    <row r="293" spans="2:67" ht="15" customHeight="1">
      <c r="B293" s="1989" t="s">
        <v>1117</v>
      </c>
      <c r="C293" s="1990"/>
      <c r="D293" s="1990"/>
      <c r="E293" s="1990"/>
      <c r="F293" s="1990"/>
      <c r="G293" s="1990"/>
      <c r="H293" s="1990"/>
      <c r="I293" s="1990"/>
      <c r="J293" s="1990"/>
      <c r="K293" s="1990"/>
      <c r="L293" s="1990"/>
      <c r="M293" s="1990"/>
      <c r="N293" s="1990"/>
      <c r="O293" s="1990"/>
      <c r="P293" s="1991"/>
      <c r="Q293" s="781"/>
      <c r="R293" s="1989" t="s">
        <v>976</v>
      </c>
      <c r="S293" s="1990"/>
      <c r="T293" s="1990"/>
      <c r="U293" s="1990"/>
      <c r="V293" s="1990"/>
      <c r="W293" s="1990"/>
      <c r="X293" s="1990"/>
      <c r="Y293" s="1990"/>
      <c r="Z293" s="1990"/>
      <c r="AA293" s="1990"/>
      <c r="AB293" s="1990"/>
      <c r="AC293" s="1990"/>
      <c r="AD293" s="1990"/>
      <c r="AE293" s="1990"/>
      <c r="AF293" s="1991"/>
      <c r="AK293" s="1466"/>
      <c r="AL293" s="1466"/>
      <c r="AM293" s="1466"/>
      <c r="AN293" s="1466"/>
      <c r="AO293" s="1466"/>
      <c r="AP293" s="1466"/>
      <c r="AQ293" s="1466"/>
      <c r="AR293" s="1466"/>
      <c r="AS293" s="1466"/>
      <c r="AT293" s="1466"/>
      <c r="AU293" s="1466"/>
      <c r="AV293" s="1466"/>
      <c r="AW293" s="1466"/>
      <c r="AX293" s="1466"/>
      <c r="AY293" s="1466"/>
      <c r="AZ293" s="1466"/>
      <c r="BA293" s="1466"/>
      <c r="BB293" s="1466"/>
      <c r="BC293" s="1466"/>
      <c r="BD293" s="1466"/>
      <c r="BE293" s="1466"/>
      <c r="BF293" s="1466"/>
      <c r="BG293" s="1466"/>
      <c r="BH293" s="1466"/>
      <c r="BI293" s="1466"/>
      <c r="BJ293" s="1466"/>
      <c r="BK293" s="1466"/>
      <c r="BL293" s="1466"/>
      <c r="BM293" s="1466"/>
      <c r="BN293" s="1466"/>
      <c r="BO293" s="1466"/>
    </row>
    <row r="294" spans="2:67" ht="15" customHeight="1">
      <c r="B294" s="1992"/>
      <c r="C294" s="1993"/>
      <c r="D294" s="1993"/>
      <c r="E294" s="1993"/>
      <c r="F294" s="1993"/>
      <c r="G294" s="1993"/>
      <c r="H294" s="1993"/>
      <c r="I294" s="1993"/>
      <c r="J294" s="1993"/>
      <c r="K294" s="1993"/>
      <c r="L294" s="1993"/>
      <c r="M294" s="1993"/>
      <c r="N294" s="1993"/>
      <c r="O294" s="1993"/>
      <c r="P294" s="1994"/>
      <c r="Q294" s="781"/>
      <c r="R294" s="1992"/>
      <c r="S294" s="1993"/>
      <c r="T294" s="1993"/>
      <c r="U294" s="1993"/>
      <c r="V294" s="1993"/>
      <c r="W294" s="1993"/>
      <c r="X294" s="1993"/>
      <c r="Y294" s="1993"/>
      <c r="Z294" s="1993"/>
      <c r="AA294" s="1993"/>
      <c r="AB294" s="1993"/>
      <c r="AC294" s="1993"/>
      <c r="AD294" s="1993"/>
      <c r="AE294" s="1993"/>
      <c r="AF294" s="1994"/>
    </row>
    <row r="295" spans="2:67" ht="15" customHeight="1">
      <c r="B295" s="1995"/>
      <c r="C295" s="1996"/>
      <c r="D295" s="1996"/>
      <c r="E295" s="1996"/>
      <c r="F295" s="1996"/>
      <c r="G295" s="1996"/>
      <c r="H295" s="1996"/>
      <c r="I295" s="1996"/>
      <c r="J295" s="1996"/>
      <c r="K295" s="1996"/>
      <c r="L295" s="1996"/>
      <c r="M295" s="1996"/>
      <c r="N295" s="1996"/>
      <c r="O295" s="1996"/>
      <c r="P295" s="1997"/>
      <c r="Q295" s="579"/>
      <c r="R295" s="1995"/>
      <c r="S295" s="1996"/>
      <c r="T295" s="1996"/>
      <c r="U295" s="1996"/>
      <c r="V295" s="1996"/>
      <c r="W295" s="1996"/>
      <c r="X295" s="1996"/>
      <c r="Y295" s="1996"/>
      <c r="Z295" s="1996"/>
      <c r="AA295" s="1996"/>
      <c r="AB295" s="1996"/>
      <c r="AC295" s="1996"/>
      <c r="AD295" s="1996"/>
      <c r="AE295" s="1996"/>
      <c r="AF295" s="1997"/>
    </row>
    <row r="296" spans="2:67" ht="15" customHeight="1">
      <c r="B296" s="364"/>
      <c r="C296" s="364"/>
      <c r="D296" s="364"/>
      <c r="E296" s="364"/>
      <c r="F296" s="364"/>
      <c r="G296" s="364"/>
      <c r="H296" s="364"/>
      <c r="I296" s="364"/>
      <c r="J296" s="364"/>
      <c r="K296" s="364"/>
      <c r="L296" s="364"/>
      <c r="M296" s="364"/>
      <c r="N296" s="364"/>
      <c r="O296" s="364"/>
      <c r="P296" s="364"/>
      <c r="Q296" s="579"/>
      <c r="R296" s="364"/>
      <c r="S296" s="364"/>
      <c r="T296" s="364"/>
      <c r="U296" s="364"/>
      <c r="V296" s="364"/>
      <c r="W296" s="364"/>
      <c r="X296" s="364"/>
      <c r="Y296" s="364"/>
      <c r="Z296" s="364"/>
      <c r="AA296" s="364"/>
      <c r="AB296" s="364"/>
      <c r="AC296" s="364"/>
      <c r="AD296" s="364"/>
      <c r="AE296" s="364"/>
      <c r="AF296" s="364"/>
    </row>
    <row r="297" spans="2:67" ht="17.25" customHeight="1">
      <c r="B297" s="364"/>
      <c r="C297" s="364"/>
      <c r="D297" s="364"/>
      <c r="E297" s="364"/>
      <c r="F297" s="364"/>
      <c r="G297" s="364"/>
      <c r="H297" s="364"/>
      <c r="I297" s="364"/>
      <c r="J297" s="364"/>
      <c r="K297" s="364"/>
      <c r="L297" s="364"/>
      <c r="M297" s="364"/>
      <c r="N297" s="364"/>
      <c r="O297" s="364"/>
      <c r="P297" s="364"/>
      <c r="Q297" s="579"/>
      <c r="R297" s="364"/>
      <c r="S297" s="364"/>
      <c r="T297" s="364"/>
      <c r="U297" s="364"/>
      <c r="V297" s="364"/>
      <c r="W297" s="364"/>
      <c r="X297" s="364"/>
      <c r="Y297" s="364"/>
      <c r="Z297" s="364"/>
      <c r="AA297" s="364"/>
      <c r="AB297" s="364"/>
      <c r="AC297" s="364"/>
      <c r="AD297" s="364"/>
      <c r="AE297" s="364"/>
      <c r="AF297" s="364"/>
    </row>
    <row r="298" spans="2:67" ht="15" customHeight="1">
      <c r="B298" s="645"/>
      <c r="C298" s="645"/>
      <c r="D298" s="645"/>
      <c r="E298" s="645"/>
      <c r="F298" s="645"/>
      <c r="G298" s="645"/>
      <c r="H298" s="645"/>
      <c r="I298" s="645"/>
      <c r="J298" s="645"/>
      <c r="K298" s="645"/>
      <c r="L298" s="645"/>
      <c r="M298" s="645"/>
      <c r="N298" s="645"/>
      <c r="O298" s="645"/>
      <c r="P298" s="645"/>
      <c r="Q298" s="645"/>
      <c r="R298" s="645"/>
      <c r="S298" s="645"/>
      <c r="T298" s="645"/>
      <c r="U298" s="645"/>
      <c r="V298" s="645"/>
      <c r="W298" s="645"/>
      <c r="X298" s="645"/>
      <c r="Y298" s="645"/>
      <c r="Z298" s="645"/>
      <c r="AA298" s="645"/>
      <c r="AB298" s="645"/>
      <c r="AC298" s="645"/>
      <c r="AD298" s="645"/>
      <c r="AE298" s="645"/>
      <c r="AF298" s="645"/>
      <c r="AJ298" s="332"/>
    </row>
    <row r="299" spans="2:67" ht="15" customHeight="1">
      <c r="B299" s="2051" t="s">
        <v>382</v>
      </c>
      <c r="C299" s="2045"/>
      <c r="D299" s="2045"/>
      <c r="E299" s="2045"/>
      <c r="F299" s="2045"/>
      <c r="G299" s="2045"/>
      <c r="H299" s="2045"/>
      <c r="I299" s="2045"/>
      <c r="J299" s="2045"/>
      <c r="K299" s="2045"/>
      <c r="L299" s="2045"/>
      <c r="M299" s="2045"/>
      <c r="N299" s="2045"/>
      <c r="O299" s="2045"/>
      <c r="P299" s="2046"/>
      <c r="Q299" s="578"/>
      <c r="R299" s="2051" t="s">
        <v>383</v>
      </c>
      <c r="S299" s="2045"/>
      <c r="T299" s="2045"/>
      <c r="U299" s="2045"/>
      <c r="V299" s="2045"/>
      <c r="W299" s="2045"/>
      <c r="X299" s="2045"/>
      <c r="Y299" s="2045"/>
      <c r="Z299" s="2045"/>
      <c r="AA299" s="2045"/>
      <c r="AB299" s="2045"/>
      <c r="AC299" s="2045"/>
      <c r="AD299" s="2045"/>
      <c r="AE299" s="2045"/>
      <c r="AF299" s="2046"/>
      <c r="AJ299" s="306"/>
      <c r="AK299" s="306"/>
      <c r="AL299" s="306"/>
      <c r="AM299" s="306"/>
      <c r="AN299" s="306"/>
      <c r="AO299" s="306"/>
      <c r="AP299" s="306"/>
      <c r="AQ299" s="306"/>
      <c r="AR299" s="306"/>
      <c r="AS299" s="306"/>
      <c r="AT299" s="306"/>
      <c r="AU299" s="306"/>
      <c r="AV299" s="306"/>
      <c r="AW299" s="306"/>
      <c r="AX299" s="306"/>
      <c r="AY299" s="306"/>
      <c r="AZ299" s="306"/>
      <c r="BA299" s="306"/>
      <c r="BB299" s="306"/>
      <c r="BC299" s="306"/>
      <c r="BD299" s="306"/>
      <c r="BE299" s="306"/>
      <c r="BF299" s="306"/>
      <c r="BG299" s="306"/>
      <c r="BH299" s="306"/>
      <c r="BI299" s="306"/>
      <c r="BJ299" s="306"/>
      <c r="BK299" s="306"/>
      <c r="BL299" s="306"/>
      <c r="BM299" s="306"/>
      <c r="BN299" s="306"/>
      <c r="BO299" s="306"/>
    </row>
    <row r="300" spans="2:67" ht="15" customHeight="1">
      <c r="B300" s="2052"/>
      <c r="C300" s="2047"/>
      <c r="D300" s="2047"/>
      <c r="E300" s="2047"/>
      <c r="F300" s="2047"/>
      <c r="G300" s="2047"/>
      <c r="H300" s="2047"/>
      <c r="I300" s="2047"/>
      <c r="J300" s="2047"/>
      <c r="K300" s="2047"/>
      <c r="L300" s="2047"/>
      <c r="M300" s="2047"/>
      <c r="N300" s="2047"/>
      <c r="O300" s="2047"/>
      <c r="P300" s="2048"/>
      <c r="Q300" s="578"/>
      <c r="R300" s="2052"/>
      <c r="S300" s="2047"/>
      <c r="T300" s="2047"/>
      <c r="U300" s="2047"/>
      <c r="V300" s="2047"/>
      <c r="W300" s="2047"/>
      <c r="X300" s="2047"/>
      <c r="Y300" s="2047"/>
      <c r="Z300" s="2047"/>
      <c r="AA300" s="2047"/>
      <c r="AB300" s="2047"/>
      <c r="AC300" s="2047"/>
      <c r="AD300" s="2047"/>
      <c r="AE300" s="2047"/>
      <c r="AF300" s="2048"/>
      <c r="AJ300" s="306"/>
      <c r="AK300" s="306"/>
      <c r="AL300" s="306"/>
      <c r="AM300" s="306"/>
      <c r="AN300" s="306"/>
      <c r="AO300" s="306"/>
      <c r="AP300" s="306"/>
      <c r="AQ300" s="306"/>
      <c r="AR300" s="306"/>
      <c r="AS300" s="306"/>
      <c r="AT300" s="306"/>
      <c r="AU300" s="306"/>
      <c r="AV300" s="306"/>
      <c r="AW300" s="306"/>
      <c r="AX300" s="306"/>
      <c r="AY300" s="306"/>
      <c r="AZ300" s="306"/>
      <c r="BA300" s="306"/>
      <c r="BB300" s="306"/>
      <c r="BC300" s="306"/>
      <c r="BD300" s="306"/>
      <c r="BE300" s="306"/>
      <c r="BF300" s="306"/>
      <c r="BG300" s="306"/>
      <c r="BH300" s="306"/>
      <c r="BI300" s="306"/>
      <c r="BJ300" s="306"/>
      <c r="BK300" s="306"/>
      <c r="BL300" s="306"/>
      <c r="BM300" s="306"/>
      <c r="BN300" s="306"/>
      <c r="BO300" s="306"/>
    </row>
    <row r="301" spans="2:67" ht="15" customHeight="1">
      <c r="B301" s="2052"/>
      <c r="C301" s="2047"/>
      <c r="D301" s="2047"/>
      <c r="E301" s="2047"/>
      <c r="F301" s="2047"/>
      <c r="G301" s="2047"/>
      <c r="H301" s="2047"/>
      <c r="I301" s="2047"/>
      <c r="J301" s="2047"/>
      <c r="K301" s="2047"/>
      <c r="L301" s="2047"/>
      <c r="M301" s="2047"/>
      <c r="N301" s="2047"/>
      <c r="O301" s="2047"/>
      <c r="P301" s="2048"/>
      <c r="Q301" s="578"/>
      <c r="R301" s="2052"/>
      <c r="S301" s="2047"/>
      <c r="T301" s="2047"/>
      <c r="U301" s="2047"/>
      <c r="V301" s="2047"/>
      <c r="W301" s="2047"/>
      <c r="X301" s="2047"/>
      <c r="Y301" s="2047"/>
      <c r="Z301" s="2047"/>
      <c r="AA301" s="2047"/>
      <c r="AB301" s="2047"/>
      <c r="AC301" s="2047"/>
      <c r="AD301" s="2047"/>
      <c r="AE301" s="2047"/>
      <c r="AF301" s="2048"/>
      <c r="AJ301" s="306"/>
      <c r="AK301" s="306"/>
      <c r="AL301" s="306"/>
      <c r="AM301" s="306"/>
      <c r="AN301" s="306"/>
      <c r="AO301" s="306"/>
      <c r="AP301" s="306"/>
      <c r="AQ301" s="306"/>
      <c r="AR301" s="306"/>
      <c r="AS301" s="306"/>
      <c r="AT301" s="306"/>
      <c r="AU301" s="306"/>
      <c r="AV301" s="306"/>
      <c r="AW301" s="306"/>
      <c r="AX301" s="306"/>
      <c r="AY301" s="306"/>
      <c r="AZ301" s="306"/>
      <c r="BA301" s="306"/>
      <c r="BB301" s="306"/>
      <c r="BC301" s="306"/>
      <c r="BD301" s="306"/>
      <c r="BE301" s="306"/>
      <c r="BF301" s="306"/>
      <c r="BG301" s="306"/>
      <c r="BH301" s="306"/>
      <c r="BI301" s="306"/>
      <c r="BJ301" s="306"/>
      <c r="BK301" s="306"/>
      <c r="BL301" s="306"/>
      <c r="BM301" s="306"/>
      <c r="BN301" s="306"/>
      <c r="BO301" s="306"/>
    </row>
    <row r="302" spans="2:67" ht="15" customHeight="1">
      <c r="B302" s="2052"/>
      <c r="C302" s="2047"/>
      <c r="D302" s="2047"/>
      <c r="E302" s="2047"/>
      <c r="F302" s="2047"/>
      <c r="G302" s="2047"/>
      <c r="H302" s="2047"/>
      <c r="I302" s="2047"/>
      <c r="J302" s="2047"/>
      <c r="K302" s="2047"/>
      <c r="L302" s="2047"/>
      <c r="M302" s="2047"/>
      <c r="N302" s="2047"/>
      <c r="O302" s="2047"/>
      <c r="P302" s="2048"/>
      <c r="Q302" s="578"/>
      <c r="R302" s="2052"/>
      <c r="S302" s="2047"/>
      <c r="T302" s="2047"/>
      <c r="U302" s="2047"/>
      <c r="V302" s="2047"/>
      <c r="W302" s="2047"/>
      <c r="X302" s="2047"/>
      <c r="Y302" s="2047"/>
      <c r="Z302" s="2047"/>
      <c r="AA302" s="2047"/>
      <c r="AB302" s="2047"/>
      <c r="AC302" s="2047"/>
      <c r="AD302" s="2047"/>
      <c r="AE302" s="2047"/>
      <c r="AF302" s="2048"/>
      <c r="AJ302" s="306"/>
      <c r="AK302" s="306"/>
      <c r="AL302" s="306"/>
      <c r="AM302" s="306"/>
      <c r="AN302" s="306"/>
      <c r="AO302" s="306"/>
      <c r="AP302" s="306"/>
      <c r="AQ302" s="306"/>
      <c r="AR302" s="306"/>
      <c r="AS302" s="306"/>
      <c r="AT302" s="306"/>
      <c r="AU302" s="306"/>
      <c r="AV302" s="306"/>
      <c r="AW302" s="306"/>
      <c r="AX302" s="306"/>
      <c r="AY302" s="306"/>
      <c r="AZ302" s="306"/>
      <c r="BA302" s="306"/>
      <c r="BB302" s="306"/>
      <c r="BC302" s="306"/>
      <c r="BD302" s="306"/>
      <c r="BE302" s="306"/>
      <c r="BF302" s="306"/>
      <c r="BG302" s="306"/>
      <c r="BH302" s="306"/>
      <c r="BI302" s="306"/>
      <c r="BJ302" s="306"/>
      <c r="BK302" s="306"/>
      <c r="BL302" s="306"/>
      <c r="BM302" s="306"/>
      <c r="BN302" s="306"/>
      <c r="BO302" s="306"/>
    </row>
    <row r="303" spans="2:67" ht="15" customHeight="1">
      <c r="B303" s="2052"/>
      <c r="C303" s="2047"/>
      <c r="D303" s="2047"/>
      <c r="E303" s="2047"/>
      <c r="F303" s="2047"/>
      <c r="G303" s="2047"/>
      <c r="H303" s="2047"/>
      <c r="I303" s="2047"/>
      <c r="J303" s="2047"/>
      <c r="K303" s="2047"/>
      <c r="L303" s="2047"/>
      <c r="M303" s="2047"/>
      <c r="N303" s="2047"/>
      <c r="O303" s="2047"/>
      <c r="P303" s="2048"/>
      <c r="Q303" s="578"/>
      <c r="R303" s="2052"/>
      <c r="S303" s="2047"/>
      <c r="T303" s="2047"/>
      <c r="U303" s="2047"/>
      <c r="V303" s="2047"/>
      <c r="W303" s="2047"/>
      <c r="X303" s="2047"/>
      <c r="Y303" s="2047"/>
      <c r="Z303" s="2047"/>
      <c r="AA303" s="2047"/>
      <c r="AB303" s="2047"/>
      <c r="AC303" s="2047"/>
      <c r="AD303" s="2047"/>
      <c r="AE303" s="2047"/>
      <c r="AF303" s="2048"/>
      <c r="AJ303" s="306"/>
      <c r="AK303" s="306"/>
      <c r="AL303" s="306"/>
      <c r="AM303" s="306"/>
      <c r="AN303" s="306"/>
      <c r="AO303" s="306"/>
      <c r="AP303" s="306"/>
      <c r="AQ303" s="306"/>
      <c r="AR303" s="306"/>
      <c r="AS303" s="306"/>
      <c r="AT303" s="306"/>
      <c r="AU303" s="306"/>
      <c r="AV303" s="306"/>
      <c r="AW303" s="306"/>
      <c r="AX303" s="306"/>
      <c r="AY303" s="306"/>
      <c r="AZ303" s="306"/>
      <c r="BA303" s="306"/>
      <c r="BB303" s="306"/>
      <c r="BC303" s="306"/>
      <c r="BD303" s="306"/>
      <c r="BE303" s="306"/>
      <c r="BF303" s="306"/>
      <c r="BG303" s="306"/>
      <c r="BH303" s="306"/>
      <c r="BI303" s="306"/>
      <c r="BJ303" s="306"/>
      <c r="BK303" s="306"/>
      <c r="BL303" s="306"/>
      <c r="BM303" s="306"/>
      <c r="BN303" s="306"/>
      <c r="BO303" s="306"/>
    </row>
    <row r="304" spans="2:67" ht="15" customHeight="1">
      <c r="B304" s="2052"/>
      <c r="C304" s="2047"/>
      <c r="D304" s="2047"/>
      <c r="E304" s="2047"/>
      <c r="F304" s="2047"/>
      <c r="G304" s="2047"/>
      <c r="H304" s="2047"/>
      <c r="I304" s="2047"/>
      <c r="J304" s="2047"/>
      <c r="K304" s="2047"/>
      <c r="L304" s="2047"/>
      <c r="M304" s="2047"/>
      <c r="N304" s="2047"/>
      <c r="O304" s="2047"/>
      <c r="P304" s="2048"/>
      <c r="Q304" s="578"/>
      <c r="R304" s="2052"/>
      <c r="S304" s="2047"/>
      <c r="T304" s="2047"/>
      <c r="U304" s="2047"/>
      <c r="V304" s="2047"/>
      <c r="W304" s="2047"/>
      <c r="X304" s="2047"/>
      <c r="Y304" s="2047"/>
      <c r="Z304" s="2047"/>
      <c r="AA304" s="2047"/>
      <c r="AB304" s="2047"/>
      <c r="AC304" s="2047"/>
      <c r="AD304" s="2047"/>
      <c r="AE304" s="2047"/>
      <c r="AF304" s="2048"/>
      <c r="AJ304" s="1369"/>
      <c r="AK304" s="1369"/>
      <c r="AL304" s="1369"/>
      <c r="AM304" s="1369"/>
      <c r="AN304" s="1369"/>
      <c r="AO304" s="1369"/>
      <c r="AP304" s="1369"/>
      <c r="AQ304" s="1369"/>
      <c r="AR304" s="1369"/>
      <c r="AS304" s="1369"/>
      <c r="AT304" s="1369"/>
      <c r="AU304" s="1369"/>
      <c r="AV304" s="1369"/>
      <c r="AW304" s="1369"/>
      <c r="AX304" s="1369"/>
      <c r="AY304" s="1369"/>
      <c r="AZ304" s="1369"/>
      <c r="BA304" s="1369"/>
      <c r="BB304" s="1369"/>
      <c r="BC304" s="1369"/>
      <c r="BD304" s="1369"/>
      <c r="BE304" s="1369"/>
      <c r="BF304" s="1369"/>
      <c r="BG304" s="1369"/>
      <c r="BH304" s="1369"/>
      <c r="BI304" s="1369"/>
      <c r="BJ304" s="1369"/>
      <c r="BK304" s="1369"/>
      <c r="BL304" s="1369"/>
      <c r="BM304" s="1369"/>
      <c r="BN304" s="1369"/>
      <c r="BO304" s="1369"/>
    </row>
    <row r="305" spans="2:67" ht="15" customHeight="1">
      <c r="B305" s="2052"/>
      <c r="C305" s="2047"/>
      <c r="D305" s="2047"/>
      <c r="E305" s="2047"/>
      <c r="F305" s="2047"/>
      <c r="G305" s="2047"/>
      <c r="H305" s="2047"/>
      <c r="I305" s="2047"/>
      <c r="J305" s="2047"/>
      <c r="K305" s="2047"/>
      <c r="L305" s="2047"/>
      <c r="M305" s="2047"/>
      <c r="N305" s="2047"/>
      <c r="O305" s="2047"/>
      <c r="P305" s="2048"/>
      <c r="Q305" s="578"/>
      <c r="R305" s="2052"/>
      <c r="S305" s="2047"/>
      <c r="T305" s="2047"/>
      <c r="U305" s="2047"/>
      <c r="V305" s="2047"/>
      <c r="W305" s="2047"/>
      <c r="X305" s="2047"/>
      <c r="Y305" s="2047"/>
      <c r="Z305" s="2047"/>
      <c r="AA305" s="2047"/>
      <c r="AB305" s="2047"/>
      <c r="AC305" s="2047"/>
      <c r="AD305" s="2047"/>
      <c r="AE305" s="2047"/>
      <c r="AF305" s="2048"/>
      <c r="AJ305" s="1369"/>
      <c r="AK305" s="1369"/>
      <c r="AL305" s="1369"/>
      <c r="AM305" s="1369"/>
      <c r="AN305" s="1369"/>
      <c r="AO305" s="1369"/>
      <c r="AP305" s="1369"/>
      <c r="AQ305" s="1369"/>
      <c r="AR305" s="1369"/>
      <c r="AS305" s="1369"/>
      <c r="AT305" s="1369"/>
      <c r="AU305" s="1369"/>
      <c r="AV305" s="1369"/>
      <c r="AW305" s="1369"/>
      <c r="AX305" s="1369"/>
      <c r="AY305" s="1369"/>
      <c r="AZ305" s="1369"/>
      <c r="BA305" s="1369"/>
      <c r="BB305" s="1369"/>
      <c r="BC305" s="1369"/>
      <c r="BD305" s="1369"/>
      <c r="BE305" s="1369"/>
      <c r="BF305" s="1369"/>
      <c r="BG305" s="1369"/>
      <c r="BH305" s="1369"/>
      <c r="BI305" s="1369"/>
      <c r="BJ305" s="1369"/>
      <c r="BK305" s="1369"/>
      <c r="BL305" s="1369"/>
      <c r="BM305" s="1369"/>
      <c r="BN305" s="1369"/>
      <c r="BO305" s="1369"/>
    </row>
    <row r="306" spans="2:67" ht="15" customHeight="1">
      <c r="B306" s="2052"/>
      <c r="C306" s="2047"/>
      <c r="D306" s="2047"/>
      <c r="E306" s="2047"/>
      <c r="F306" s="2047"/>
      <c r="G306" s="2047"/>
      <c r="H306" s="2047"/>
      <c r="I306" s="2047"/>
      <c r="J306" s="2047"/>
      <c r="K306" s="2047"/>
      <c r="L306" s="2047"/>
      <c r="M306" s="2047"/>
      <c r="N306" s="2047"/>
      <c r="O306" s="2047"/>
      <c r="P306" s="2048"/>
      <c r="Q306" s="578"/>
      <c r="R306" s="2052"/>
      <c r="S306" s="2047"/>
      <c r="T306" s="2047"/>
      <c r="U306" s="2047"/>
      <c r="V306" s="2047"/>
      <c r="W306" s="2047"/>
      <c r="X306" s="2047"/>
      <c r="Y306" s="2047"/>
      <c r="Z306" s="2047"/>
      <c r="AA306" s="2047"/>
      <c r="AB306" s="2047"/>
      <c r="AC306" s="2047"/>
      <c r="AD306" s="2047"/>
      <c r="AE306" s="2047"/>
      <c r="AF306" s="2048"/>
      <c r="AJ306" s="306"/>
      <c r="AK306" s="306"/>
      <c r="AL306" s="306"/>
      <c r="AM306" s="306"/>
      <c r="AN306" s="306"/>
      <c r="AO306" s="306"/>
      <c r="AP306" s="306"/>
      <c r="AQ306" s="306"/>
      <c r="AR306" s="306"/>
      <c r="AS306" s="306"/>
      <c r="AT306" s="306"/>
      <c r="AU306" s="306"/>
      <c r="AV306" s="306"/>
      <c r="AW306" s="306"/>
      <c r="AX306" s="306"/>
      <c r="AY306" s="306"/>
      <c r="AZ306" s="306"/>
      <c r="BA306" s="306"/>
      <c r="BB306" s="306"/>
      <c r="BC306" s="306"/>
      <c r="BD306" s="306"/>
      <c r="BE306" s="306"/>
      <c r="BF306" s="306"/>
      <c r="BG306" s="306"/>
      <c r="BH306" s="306"/>
      <c r="BI306" s="306"/>
      <c r="BJ306" s="306"/>
      <c r="BK306" s="306"/>
      <c r="BL306" s="306"/>
      <c r="BM306" s="306"/>
      <c r="BN306" s="306"/>
      <c r="BO306" s="306"/>
    </row>
    <row r="307" spans="2:67" ht="15" customHeight="1">
      <c r="B307" s="2052"/>
      <c r="C307" s="2047"/>
      <c r="D307" s="2047"/>
      <c r="E307" s="2047"/>
      <c r="F307" s="2047"/>
      <c r="G307" s="2047"/>
      <c r="H307" s="2047"/>
      <c r="I307" s="2047"/>
      <c r="J307" s="2047"/>
      <c r="K307" s="2047"/>
      <c r="L307" s="2047"/>
      <c r="M307" s="2047"/>
      <c r="N307" s="2047"/>
      <c r="O307" s="2047"/>
      <c r="P307" s="2048"/>
      <c r="Q307" s="578"/>
      <c r="R307" s="2052"/>
      <c r="S307" s="2047"/>
      <c r="T307" s="2047"/>
      <c r="U307" s="2047"/>
      <c r="V307" s="2047"/>
      <c r="W307" s="2047"/>
      <c r="X307" s="2047"/>
      <c r="Y307" s="2047"/>
      <c r="Z307" s="2047"/>
      <c r="AA307" s="2047"/>
      <c r="AB307" s="2047"/>
      <c r="AC307" s="2047"/>
      <c r="AD307" s="2047"/>
      <c r="AE307" s="2047"/>
      <c r="AF307" s="2048"/>
      <c r="AJ307" s="306"/>
      <c r="AK307" s="306"/>
      <c r="AL307" s="306"/>
      <c r="AM307" s="306"/>
      <c r="AN307" s="306"/>
      <c r="AO307" s="306"/>
      <c r="AP307" s="306"/>
      <c r="AQ307" s="306"/>
      <c r="AR307" s="306"/>
      <c r="AS307" s="306"/>
      <c r="AT307" s="306"/>
      <c r="AU307" s="306"/>
      <c r="AV307" s="306"/>
      <c r="AW307" s="306"/>
      <c r="AX307" s="306"/>
      <c r="AY307" s="306"/>
      <c r="AZ307" s="306"/>
      <c r="BA307" s="306"/>
      <c r="BB307" s="306"/>
      <c r="BC307" s="306"/>
      <c r="BD307" s="306"/>
      <c r="BE307" s="306"/>
      <c r="BF307" s="306"/>
      <c r="BG307" s="306"/>
      <c r="BH307" s="306"/>
      <c r="BI307" s="306"/>
      <c r="BJ307" s="306"/>
      <c r="BK307" s="306"/>
      <c r="BL307" s="306"/>
      <c r="BM307" s="306"/>
      <c r="BN307" s="306"/>
      <c r="BO307" s="306"/>
    </row>
    <row r="308" spans="2:67" ht="15" customHeight="1">
      <c r="B308" s="2052"/>
      <c r="C308" s="2047"/>
      <c r="D308" s="2047"/>
      <c r="E308" s="2047"/>
      <c r="F308" s="2047"/>
      <c r="G308" s="2047"/>
      <c r="H308" s="2047"/>
      <c r="I308" s="2047"/>
      <c r="J308" s="2047"/>
      <c r="K308" s="2047"/>
      <c r="L308" s="2047"/>
      <c r="M308" s="2047"/>
      <c r="N308" s="2047"/>
      <c r="O308" s="2047"/>
      <c r="P308" s="2048"/>
      <c r="Q308" s="578"/>
      <c r="R308" s="2052"/>
      <c r="S308" s="2047"/>
      <c r="T308" s="2047"/>
      <c r="U308" s="2047"/>
      <c r="V308" s="2047"/>
      <c r="W308" s="2047"/>
      <c r="X308" s="2047"/>
      <c r="Y308" s="2047"/>
      <c r="Z308" s="2047"/>
      <c r="AA308" s="2047"/>
      <c r="AB308" s="2047"/>
      <c r="AC308" s="2047"/>
      <c r="AD308" s="2047"/>
      <c r="AE308" s="2047"/>
      <c r="AF308" s="2048"/>
      <c r="AJ308" s="306"/>
      <c r="AK308" s="306"/>
      <c r="AL308" s="306"/>
      <c r="AM308" s="306"/>
      <c r="AN308" s="306"/>
      <c r="AO308" s="306"/>
      <c r="AP308" s="306"/>
      <c r="AQ308" s="306"/>
      <c r="AR308" s="306"/>
      <c r="AS308" s="306"/>
      <c r="AT308" s="306"/>
      <c r="AU308" s="306"/>
      <c r="AV308" s="306"/>
      <c r="AW308" s="306"/>
      <c r="AX308" s="306"/>
      <c r="AY308" s="306"/>
      <c r="AZ308" s="306"/>
      <c r="BA308" s="306"/>
      <c r="BB308" s="306"/>
      <c r="BC308" s="306"/>
      <c r="BD308" s="306"/>
      <c r="BE308" s="306"/>
      <c r="BF308" s="306"/>
      <c r="BG308" s="306"/>
      <c r="BH308" s="306"/>
      <c r="BI308" s="306"/>
      <c r="BJ308" s="306"/>
      <c r="BK308" s="306"/>
      <c r="BL308" s="306"/>
      <c r="BM308" s="306"/>
      <c r="BN308" s="306"/>
      <c r="BO308" s="306"/>
    </row>
    <row r="309" spans="2:67" ht="15" customHeight="1">
      <c r="B309" s="2052"/>
      <c r="C309" s="2047"/>
      <c r="D309" s="2047"/>
      <c r="E309" s="2047"/>
      <c r="F309" s="2047"/>
      <c r="G309" s="2047"/>
      <c r="H309" s="2047"/>
      <c r="I309" s="2047"/>
      <c r="J309" s="2047"/>
      <c r="K309" s="2047"/>
      <c r="L309" s="2047"/>
      <c r="M309" s="2047"/>
      <c r="N309" s="2047"/>
      <c r="O309" s="2047"/>
      <c r="P309" s="2048"/>
      <c r="Q309" s="578"/>
      <c r="R309" s="2052"/>
      <c r="S309" s="2047"/>
      <c r="T309" s="2047"/>
      <c r="U309" s="2047"/>
      <c r="V309" s="2047"/>
      <c r="W309" s="2047"/>
      <c r="X309" s="2047"/>
      <c r="Y309" s="2047"/>
      <c r="Z309" s="2047"/>
      <c r="AA309" s="2047"/>
      <c r="AB309" s="2047"/>
      <c r="AC309" s="2047"/>
      <c r="AD309" s="2047"/>
      <c r="AE309" s="2047"/>
      <c r="AF309" s="2048"/>
      <c r="AJ309" s="306"/>
      <c r="AK309" s="306"/>
      <c r="AL309" s="306"/>
      <c r="AM309" s="306"/>
      <c r="AN309" s="306"/>
      <c r="AO309" s="306"/>
      <c r="AP309" s="306"/>
      <c r="AQ309" s="306"/>
      <c r="AR309" s="306"/>
      <c r="AS309" s="306"/>
      <c r="AT309" s="306"/>
      <c r="AU309" s="306"/>
      <c r="AV309" s="306"/>
      <c r="AW309" s="306"/>
      <c r="AX309" s="306"/>
      <c r="AY309" s="306"/>
      <c r="AZ309" s="306"/>
      <c r="BA309" s="306"/>
      <c r="BB309" s="306"/>
      <c r="BC309" s="306"/>
      <c r="BD309" s="306"/>
      <c r="BE309" s="306"/>
      <c r="BF309" s="306"/>
      <c r="BG309" s="306"/>
      <c r="BH309" s="306"/>
      <c r="BI309" s="306"/>
      <c r="BJ309" s="306"/>
      <c r="BK309" s="306"/>
      <c r="BL309" s="306"/>
      <c r="BM309" s="306"/>
      <c r="BN309" s="306"/>
      <c r="BO309" s="306"/>
    </row>
    <row r="310" spans="2:67" ht="15" customHeight="1">
      <c r="B310" s="2053"/>
      <c r="C310" s="2049"/>
      <c r="D310" s="2049"/>
      <c r="E310" s="2049"/>
      <c r="F310" s="2049"/>
      <c r="G310" s="2049"/>
      <c r="H310" s="2049"/>
      <c r="I310" s="2049"/>
      <c r="J310" s="2049"/>
      <c r="K310" s="2049"/>
      <c r="L310" s="2049"/>
      <c r="M310" s="2049"/>
      <c r="N310" s="2049"/>
      <c r="O310" s="2049"/>
      <c r="P310" s="2050"/>
      <c r="Q310" s="578"/>
      <c r="R310" s="2053"/>
      <c r="S310" s="2049"/>
      <c r="T310" s="2049"/>
      <c r="U310" s="2049"/>
      <c r="V310" s="2049"/>
      <c r="W310" s="2049"/>
      <c r="X310" s="2049"/>
      <c r="Y310" s="2049"/>
      <c r="Z310" s="2049"/>
      <c r="AA310" s="2049"/>
      <c r="AB310" s="2049"/>
      <c r="AC310" s="2049"/>
      <c r="AD310" s="2049"/>
      <c r="AE310" s="2049"/>
      <c r="AF310" s="2050"/>
      <c r="AJ310" s="306"/>
      <c r="AK310" s="306"/>
      <c r="AL310" s="306"/>
      <c r="AM310" s="306"/>
      <c r="AN310" s="306"/>
      <c r="AO310" s="306"/>
      <c r="AP310" s="306"/>
      <c r="AQ310" s="306"/>
      <c r="AR310" s="306"/>
      <c r="AS310" s="306"/>
      <c r="AT310" s="306"/>
      <c r="AU310" s="306"/>
      <c r="AV310" s="306"/>
      <c r="AW310" s="306"/>
      <c r="AX310" s="306"/>
      <c r="AY310" s="306"/>
      <c r="AZ310" s="306"/>
      <c r="BA310" s="306"/>
      <c r="BB310" s="306"/>
      <c r="BC310" s="306"/>
      <c r="BD310" s="306"/>
      <c r="BE310" s="306"/>
      <c r="BF310" s="306"/>
      <c r="BG310" s="306"/>
      <c r="BH310" s="306"/>
      <c r="BI310" s="306"/>
      <c r="BJ310" s="306"/>
      <c r="BK310" s="306"/>
      <c r="BL310" s="306"/>
      <c r="BM310" s="306"/>
      <c r="BN310" s="306"/>
      <c r="BO310" s="306"/>
    </row>
    <row r="311" spans="2:67" ht="15" customHeight="1">
      <c r="B311" s="645"/>
      <c r="C311" s="645"/>
      <c r="D311" s="645"/>
      <c r="E311" s="645"/>
      <c r="F311" s="645"/>
      <c r="G311" s="645"/>
      <c r="H311" s="645"/>
      <c r="I311" s="645"/>
      <c r="J311" s="645"/>
      <c r="K311" s="645"/>
      <c r="L311" s="645"/>
      <c r="M311" s="645"/>
      <c r="N311" s="645"/>
      <c r="O311" s="645"/>
      <c r="P311" s="645"/>
      <c r="Q311" s="645"/>
      <c r="R311" s="645"/>
      <c r="S311" s="645"/>
      <c r="T311" s="645"/>
      <c r="U311" s="645"/>
      <c r="V311" s="645"/>
      <c r="W311" s="645"/>
      <c r="X311" s="645"/>
      <c r="Y311" s="645"/>
      <c r="Z311" s="645"/>
      <c r="AA311" s="645"/>
      <c r="AB311" s="645"/>
      <c r="AC311" s="645"/>
      <c r="AD311" s="645"/>
      <c r="AE311" s="645"/>
      <c r="AF311" s="645"/>
      <c r="AJ311" s="306"/>
      <c r="AK311" s="306"/>
      <c r="AL311" s="306"/>
      <c r="AM311" s="306"/>
      <c r="AN311" s="306"/>
      <c r="AO311" s="306"/>
      <c r="AP311" s="306"/>
      <c r="AQ311" s="306"/>
      <c r="AR311" s="306"/>
      <c r="AS311" s="306"/>
      <c r="AT311" s="306"/>
      <c r="AU311" s="306"/>
      <c r="AV311" s="306"/>
      <c r="AW311" s="306"/>
      <c r="AX311" s="306"/>
      <c r="AY311" s="306"/>
      <c r="AZ311" s="306"/>
      <c r="BA311" s="306"/>
      <c r="BB311" s="306"/>
      <c r="BC311" s="306"/>
      <c r="BD311" s="306"/>
      <c r="BE311" s="306"/>
      <c r="BF311" s="306"/>
      <c r="BG311" s="306"/>
      <c r="BH311" s="306"/>
      <c r="BI311" s="306"/>
      <c r="BJ311" s="306"/>
      <c r="BK311" s="306"/>
      <c r="BL311" s="306"/>
      <c r="BM311" s="306"/>
      <c r="BN311" s="306"/>
      <c r="BO311" s="306"/>
    </row>
    <row r="312" spans="2:67" ht="15" customHeight="1">
      <c r="B312" s="1989" t="s">
        <v>976</v>
      </c>
      <c r="C312" s="1990"/>
      <c r="D312" s="1990"/>
      <c r="E312" s="1990"/>
      <c r="F312" s="1990"/>
      <c r="G312" s="1990"/>
      <c r="H312" s="1990"/>
      <c r="I312" s="1990"/>
      <c r="J312" s="1990"/>
      <c r="K312" s="1990"/>
      <c r="L312" s="1990"/>
      <c r="M312" s="1990"/>
      <c r="N312" s="1990"/>
      <c r="O312" s="1990"/>
      <c r="P312" s="1991"/>
      <c r="Q312" s="580"/>
      <c r="R312" s="1989" t="s">
        <v>1001</v>
      </c>
      <c r="S312" s="1990"/>
      <c r="T312" s="1990"/>
      <c r="U312" s="1990"/>
      <c r="V312" s="1990"/>
      <c r="W312" s="1990"/>
      <c r="X312" s="1990"/>
      <c r="Y312" s="1990"/>
      <c r="Z312" s="1990"/>
      <c r="AA312" s="1990"/>
      <c r="AB312" s="1990"/>
      <c r="AC312" s="1990"/>
      <c r="AD312" s="1990"/>
      <c r="AE312" s="1990"/>
      <c r="AF312" s="1991"/>
      <c r="AJ312" s="306"/>
      <c r="AK312" s="306"/>
      <c r="AL312" s="306"/>
      <c r="AM312" s="306"/>
      <c r="AN312" s="306"/>
      <c r="AO312" s="306"/>
      <c r="AP312" s="306"/>
      <c r="AQ312" s="306"/>
      <c r="AR312" s="306"/>
      <c r="AS312" s="306"/>
      <c r="AT312" s="306"/>
      <c r="AU312" s="306"/>
      <c r="AV312" s="306"/>
      <c r="AW312" s="306"/>
      <c r="AX312" s="306"/>
      <c r="AY312" s="306"/>
      <c r="AZ312" s="306"/>
      <c r="BA312" s="306"/>
      <c r="BB312" s="306"/>
      <c r="BC312" s="306"/>
      <c r="BD312" s="306"/>
      <c r="BE312" s="306"/>
      <c r="BF312" s="306"/>
      <c r="BG312" s="306"/>
      <c r="BH312" s="306"/>
      <c r="BI312" s="306"/>
      <c r="BJ312" s="306"/>
      <c r="BK312" s="306"/>
      <c r="BL312" s="306"/>
      <c r="BM312" s="306"/>
      <c r="BN312" s="306"/>
      <c r="BO312" s="306"/>
    </row>
    <row r="313" spans="2:67" ht="15" customHeight="1">
      <c r="B313" s="1992"/>
      <c r="C313" s="1993"/>
      <c r="D313" s="1993"/>
      <c r="E313" s="1993"/>
      <c r="F313" s="1993"/>
      <c r="G313" s="1993"/>
      <c r="H313" s="1993"/>
      <c r="I313" s="1993"/>
      <c r="J313" s="1993"/>
      <c r="K313" s="1993"/>
      <c r="L313" s="1993"/>
      <c r="M313" s="1993"/>
      <c r="N313" s="1993"/>
      <c r="O313" s="1993"/>
      <c r="P313" s="1994"/>
      <c r="Q313" s="580"/>
      <c r="R313" s="1992"/>
      <c r="S313" s="1993"/>
      <c r="T313" s="1993"/>
      <c r="U313" s="1993"/>
      <c r="V313" s="1993"/>
      <c r="W313" s="1993"/>
      <c r="X313" s="1993"/>
      <c r="Y313" s="1993"/>
      <c r="Z313" s="1993"/>
      <c r="AA313" s="1993"/>
      <c r="AB313" s="1993"/>
      <c r="AC313" s="1993"/>
      <c r="AD313" s="1993"/>
      <c r="AE313" s="1993"/>
      <c r="AF313" s="1994"/>
      <c r="AJ313" s="306"/>
      <c r="AK313" s="306"/>
      <c r="AL313" s="306"/>
      <c r="AM313" s="306"/>
      <c r="AN313" s="306"/>
      <c r="AO313" s="306"/>
      <c r="AP313" s="306"/>
      <c r="AQ313" s="306"/>
      <c r="AR313" s="306"/>
      <c r="AS313" s="306"/>
      <c r="AT313" s="306"/>
      <c r="AU313" s="306"/>
      <c r="AV313" s="306"/>
      <c r="AW313" s="306"/>
      <c r="AX313" s="306"/>
      <c r="AY313" s="306"/>
      <c r="AZ313" s="306"/>
      <c r="BA313" s="306"/>
      <c r="BB313" s="306"/>
      <c r="BC313" s="306"/>
      <c r="BD313" s="306"/>
      <c r="BE313" s="306"/>
      <c r="BF313" s="306"/>
      <c r="BG313" s="306"/>
      <c r="BH313" s="306"/>
      <c r="BI313" s="306"/>
      <c r="BJ313" s="306"/>
      <c r="BK313" s="306"/>
      <c r="BL313" s="306"/>
      <c r="BM313" s="306"/>
      <c r="BN313" s="306"/>
      <c r="BO313" s="306"/>
    </row>
    <row r="314" spans="2:67" ht="15" customHeight="1">
      <c r="B314" s="1995"/>
      <c r="C314" s="1996"/>
      <c r="D314" s="1996"/>
      <c r="E314" s="1996"/>
      <c r="F314" s="1996"/>
      <c r="G314" s="1996"/>
      <c r="H314" s="1996"/>
      <c r="I314" s="1996"/>
      <c r="J314" s="1996"/>
      <c r="K314" s="1996"/>
      <c r="L314" s="1996"/>
      <c r="M314" s="1996"/>
      <c r="N314" s="1996"/>
      <c r="O314" s="1996"/>
      <c r="P314" s="1997"/>
      <c r="Q314" s="579"/>
      <c r="R314" s="1995"/>
      <c r="S314" s="1996"/>
      <c r="T314" s="1996"/>
      <c r="U314" s="1996"/>
      <c r="V314" s="1996"/>
      <c r="W314" s="1996"/>
      <c r="X314" s="1996"/>
      <c r="Y314" s="1996"/>
      <c r="Z314" s="1996"/>
      <c r="AA314" s="1996"/>
      <c r="AB314" s="1996"/>
      <c r="AC314" s="1996"/>
      <c r="AD314" s="1996"/>
      <c r="AE314" s="1996"/>
      <c r="AF314" s="1997"/>
      <c r="AJ314" s="306"/>
      <c r="AK314" s="306"/>
      <c r="AL314" s="306"/>
      <c r="AM314" s="306"/>
      <c r="AN314" s="306"/>
      <c r="AO314" s="306"/>
      <c r="AP314" s="306"/>
      <c r="AQ314" s="306"/>
      <c r="AR314" s="306"/>
      <c r="AS314" s="306"/>
      <c r="AT314" s="306"/>
      <c r="AU314" s="306"/>
      <c r="AV314" s="306"/>
      <c r="AW314" s="306"/>
      <c r="AX314" s="306"/>
      <c r="AY314" s="306"/>
      <c r="AZ314" s="306"/>
      <c r="BA314" s="306"/>
      <c r="BB314" s="306"/>
      <c r="BC314" s="306"/>
      <c r="BD314" s="306"/>
      <c r="BE314" s="306"/>
      <c r="BF314" s="306"/>
      <c r="BG314" s="306"/>
      <c r="BH314" s="306"/>
      <c r="BI314" s="306"/>
      <c r="BJ314" s="306"/>
      <c r="BK314" s="306"/>
      <c r="BL314" s="306"/>
      <c r="BM314" s="306"/>
      <c r="BN314" s="306"/>
      <c r="BO314" s="306"/>
    </row>
    <row r="315" spans="2:67" ht="15" customHeight="1">
      <c r="B315" s="364"/>
      <c r="C315" s="364"/>
      <c r="D315" s="364"/>
      <c r="E315" s="364"/>
      <c r="F315" s="364"/>
      <c r="G315" s="364"/>
      <c r="H315" s="364"/>
      <c r="I315" s="364"/>
      <c r="J315" s="364"/>
      <c r="K315" s="364"/>
      <c r="L315" s="364"/>
      <c r="M315" s="364"/>
      <c r="N315" s="364"/>
      <c r="O315" s="364"/>
      <c r="P315" s="364"/>
      <c r="Q315" s="579"/>
      <c r="R315" s="364"/>
      <c r="S315" s="364"/>
      <c r="T315" s="364"/>
      <c r="U315" s="364"/>
      <c r="V315" s="364"/>
      <c r="W315" s="364"/>
      <c r="X315" s="364"/>
      <c r="Y315" s="364"/>
      <c r="Z315" s="364"/>
      <c r="AA315" s="364"/>
      <c r="AB315" s="364"/>
      <c r="AC315" s="364"/>
      <c r="AD315" s="364"/>
      <c r="AE315" s="364"/>
      <c r="AF315" s="364"/>
      <c r="AJ315" s="306"/>
      <c r="AK315" s="306"/>
      <c r="AL315" s="306"/>
      <c r="AM315" s="306"/>
      <c r="AN315" s="306"/>
      <c r="AO315" s="306"/>
      <c r="AP315" s="306"/>
      <c r="AQ315" s="306"/>
      <c r="AR315" s="306"/>
      <c r="AS315" s="306"/>
      <c r="AT315" s="306"/>
      <c r="AU315" s="306"/>
      <c r="AV315" s="306"/>
      <c r="AW315" s="306"/>
      <c r="AX315" s="306"/>
      <c r="AY315" s="306"/>
      <c r="AZ315" s="306"/>
      <c r="BA315" s="306"/>
      <c r="BB315" s="306"/>
      <c r="BC315" s="306"/>
      <c r="BD315" s="306"/>
      <c r="BE315" s="306"/>
      <c r="BF315" s="306"/>
      <c r="BG315" s="306"/>
      <c r="BH315" s="306"/>
      <c r="BI315" s="306"/>
      <c r="BJ315" s="306"/>
      <c r="BK315" s="306"/>
      <c r="BL315" s="306"/>
      <c r="BM315" s="306"/>
      <c r="BN315" s="306"/>
      <c r="BO315" s="306"/>
    </row>
    <row r="316" spans="2:67" ht="15.75" customHeight="1">
      <c r="B316" s="364"/>
      <c r="C316" s="364"/>
      <c r="D316" s="364"/>
      <c r="E316" s="364"/>
      <c r="F316" s="364"/>
      <c r="G316" s="364"/>
      <c r="H316" s="364"/>
      <c r="I316" s="364"/>
      <c r="J316" s="364"/>
      <c r="K316" s="364"/>
      <c r="L316" s="364"/>
      <c r="M316" s="364"/>
      <c r="N316" s="364"/>
      <c r="O316" s="364"/>
      <c r="P316" s="364"/>
      <c r="Q316" s="579"/>
      <c r="R316" s="364"/>
      <c r="S316" s="364"/>
      <c r="T316" s="364"/>
      <c r="U316" s="364"/>
      <c r="V316" s="364"/>
      <c r="W316" s="364"/>
      <c r="X316" s="364"/>
      <c r="Y316" s="364"/>
      <c r="Z316" s="364"/>
      <c r="AA316" s="364"/>
      <c r="AB316" s="364"/>
      <c r="AC316" s="364"/>
      <c r="AD316" s="364"/>
      <c r="AE316" s="364"/>
      <c r="AF316" s="364"/>
      <c r="AJ316" s="306"/>
      <c r="AK316" s="306"/>
      <c r="AL316" s="306"/>
      <c r="AM316" s="306"/>
      <c r="AN316" s="306"/>
      <c r="AO316" s="306"/>
      <c r="AP316" s="306"/>
      <c r="AQ316" s="306"/>
      <c r="AR316" s="306"/>
      <c r="AS316" s="306"/>
      <c r="AT316" s="306"/>
      <c r="AU316" s="306"/>
      <c r="AV316" s="306"/>
      <c r="AW316" s="306"/>
      <c r="AX316" s="306"/>
      <c r="AY316" s="306"/>
      <c r="AZ316" s="306"/>
      <c r="BA316" s="306"/>
      <c r="BB316" s="306"/>
      <c r="BC316" s="306"/>
      <c r="BD316" s="306"/>
      <c r="BE316" s="306"/>
      <c r="BF316" s="306"/>
      <c r="BG316" s="306"/>
      <c r="BH316" s="306"/>
      <c r="BI316" s="306"/>
      <c r="BJ316" s="306"/>
      <c r="BK316" s="306"/>
      <c r="BL316" s="306"/>
      <c r="BM316" s="306"/>
      <c r="BN316" s="306"/>
      <c r="BO316" s="306"/>
    </row>
    <row r="317" spans="2:67" ht="15" customHeight="1">
      <c r="B317" s="645"/>
      <c r="C317" s="645"/>
      <c r="D317" s="645"/>
      <c r="E317" s="645"/>
      <c r="F317" s="645"/>
      <c r="G317" s="645"/>
      <c r="H317" s="645"/>
      <c r="I317" s="645"/>
      <c r="J317" s="645"/>
      <c r="K317" s="645"/>
      <c r="L317" s="645"/>
      <c r="M317" s="645"/>
      <c r="N317" s="645"/>
      <c r="O317" s="645"/>
      <c r="P317" s="645"/>
      <c r="Q317" s="645"/>
      <c r="R317" s="645"/>
      <c r="S317" s="645"/>
      <c r="T317" s="645"/>
      <c r="U317" s="645"/>
      <c r="V317" s="645"/>
      <c r="W317" s="645"/>
      <c r="X317" s="645"/>
      <c r="Y317" s="645"/>
      <c r="Z317" s="645"/>
      <c r="AA317" s="645"/>
      <c r="AB317" s="645"/>
      <c r="AC317" s="645"/>
      <c r="AD317" s="645"/>
      <c r="AE317" s="645"/>
      <c r="AF317" s="645"/>
      <c r="AJ317" s="306"/>
      <c r="AK317" s="306"/>
      <c r="AL317" s="306"/>
      <c r="AM317" s="306"/>
      <c r="AN317" s="306"/>
      <c r="AO317" s="306"/>
      <c r="AP317" s="306"/>
      <c r="AQ317" s="306"/>
      <c r="AR317" s="306"/>
      <c r="AS317" s="306"/>
      <c r="AT317" s="306"/>
      <c r="AU317" s="306"/>
      <c r="AV317" s="306"/>
      <c r="AW317" s="306"/>
      <c r="AX317" s="306"/>
      <c r="AY317" s="306"/>
      <c r="AZ317" s="306"/>
      <c r="BA317" s="306"/>
      <c r="BB317" s="306"/>
      <c r="BC317" s="306"/>
      <c r="BD317" s="306"/>
      <c r="BE317" s="306"/>
      <c r="BF317" s="306"/>
      <c r="BG317" s="306"/>
      <c r="BH317" s="306"/>
      <c r="BI317" s="306"/>
      <c r="BJ317" s="306"/>
      <c r="BK317" s="306"/>
      <c r="BL317" s="306"/>
      <c r="BM317" s="306"/>
      <c r="BN317" s="306"/>
      <c r="BO317" s="306"/>
    </row>
    <row r="318" spans="2:67" ht="15" customHeight="1">
      <c r="B318" s="2051" t="s">
        <v>382</v>
      </c>
      <c r="C318" s="2045"/>
      <c r="D318" s="2045"/>
      <c r="E318" s="2045"/>
      <c r="F318" s="2045"/>
      <c r="G318" s="2045"/>
      <c r="H318" s="2045"/>
      <c r="I318" s="2045"/>
      <c r="J318" s="2045"/>
      <c r="K318" s="2045"/>
      <c r="L318" s="2045"/>
      <c r="M318" s="2045"/>
      <c r="N318" s="2045"/>
      <c r="O318" s="2045"/>
      <c r="P318" s="2046"/>
      <c r="Q318" s="578"/>
      <c r="R318" s="2051" t="s">
        <v>383</v>
      </c>
      <c r="S318" s="2045"/>
      <c r="T318" s="2045"/>
      <c r="U318" s="2045"/>
      <c r="V318" s="2045"/>
      <c r="W318" s="2045"/>
      <c r="X318" s="2045"/>
      <c r="Y318" s="2045"/>
      <c r="Z318" s="2045"/>
      <c r="AA318" s="2045"/>
      <c r="AB318" s="2045"/>
      <c r="AC318" s="2045"/>
      <c r="AD318" s="2045"/>
      <c r="AE318" s="2045"/>
      <c r="AF318" s="2046"/>
      <c r="AJ318" s="306"/>
      <c r="AK318" s="306"/>
      <c r="AL318" s="306"/>
      <c r="AM318" s="306"/>
      <c r="AN318" s="306"/>
      <c r="AO318" s="306"/>
      <c r="AP318" s="306"/>
      <c r="AQ318" s="306"/>
      <c r="AR318" s="306"/>
      <c r="AS318" s="306"/>
      <c r="AT318" s="306"/>
      <c r="AU318" s="306"/>
      <c r="AV318" s="306"/>
      <c r="AW318" s="306"/>
      <c r="AX318" s="306"/>
      <c r="AY318" s="306"/>
      <c r="AZ318" s="306"/>
      <c r="BA318" s="306"/>
      <c r="BB318" s="306"/>
      <c r="BC318" s="306"/>
      <c r="BD318" s="306"/>
      <c r="BE318" s="306"/>
      <c r="BF318" s="306"/>
      <c r="BG318" s="306"/>
      <c r="BH318" s="306"/>
      <c r="BI318" s="306"/>
      <c r="BJ318" s="306"/>
      <c r="BK318" s="306"/>
      <c r="BL318" s="306"/>
      <c r="BM318" s="306"/>
      <c r="BN318" s="306"/>
      <c r="BO318" s="306"/>
    </row>
    <row r="319" spans="2:67" ht="15" customHeight="1">
      <c r="B319" s="2052"/>
      <c r="C319" s="2047"/>
      <c r="D319" s="2047"/>
      <c r="E319" s="2047"/>
      <c r="F319" s="2047"/>
      <c r="G319" s="2047"/>
      <c r="H319" s="2047"/>
      <c r="I319" s="2047"/>
      <c r="J319" s="2047"/>
      <c r="K319" s="2047"/>
      <c r="L319" s="2047"/>
      <c r="M319" s="2047"/>
      <c r="N319" s="2047"/>
      <c r="O319" s="2047"/>
      <c r="P319" s="2048"/>
      <c r="Q319" s="578"/>
      <c r="R319" s="2052"/>
      <c r="S319" s="2047"/>
      <c r="T319" s="2047"/>
      <c r="U319" s="2047"/>
      <c r="V319" s="2047"/>
      <c r="W319" s="2047"/>
      <c r="X319" s="2047"/>
      <c r="Y319" s="2047"/>
      <c r="Z319" s="2047"/>
      <c r="AA319" s="2047"/>
      <c r="AB319" s="2047"/>
      <c r="AC319" s="2047"/>
      <c r="AD319" s="2047"/>
      <c r="AE319" s="2047"/>
      <c r="AF319" s="2048"/>
      <c r="AJ319" s="1369"/>
      <c r="AK319" s="1369"/>
      <c r="AL319" s="1369"/>
      <c r="AM319" s="1369"/>
      <c r="AN319" s="1369"/>
      <c r="AO319" s="1369"/>
      <c r="AP319" s="1369"/>
      <c r="AQ319" s="1369"/>
      <c r="AR319" s="1369"/>
      <c r="AS319" s="1369"/>
      <c r="AT319" s="1369"/>
      <c r="AU319" s="1369"/>
      <c r="AV319" s="1369"/>
      <c r="AW319" s="1369"/>
      <c r="AX319" s="1369"/>
      <c r="AY319" s="1369"/>
      <c r="AZ319" s="1369"/>
      <c r="BA319" s="1369"/>
      <c r="BB319" s="1369"/>
      <c r="BC319" s="1369"/>
      <c r="BD319" s="1369"/>
      <c r="BE319" s="1369"/>
      <c r="BF319" s="1369"/>
      <c r="BG319" s="1369"/>
      <c r="BH319" s="1369"/>
      <c r="BI319" s="1369"/>
      <c r="BJ319" s="1369"/>
      <c r="BK319" s="1369"/>
      <c r="BL319" s="1369"/>
      <c r="BM319" s="1369"/>
      <c r="BN319" s="1369"/>
      <c r="BO319" s="1369"/>
    </row>
    <row r="320" spans="2:67" ht="15" customHeight="1">
      <c r="B320" s="2052"/>
      <c r="C320" s="2047"/>
      <c r="D320" s="2047"/>
      <c r="E320" s="2047"/>
      <c r="F320" s="2047"/>
      <c r="G320" s="2047"/>
      <c r="H320" s="2047"/>
      <c r="I320" s="2047"/>
      <c r="J320" s="2047"/>
      <c r="K320" s="2047"/>
      <c r="L320" s="2047"/>
      <c r="M320" s="2047"/>
      <c r="N320" s="2047"/>
      <c r="O320" s="2047"/>
      <c r="P320" s="2048"/>
      <c r="Q320" s="578"/>
      <c r="R320" s="2052"/>
      <c r="S320" s="2047"/>
      <c r="T320" s="2047"/>
      <c r="U320" s="2047"/>
      <c r="V320" s="2047"/>
      <c r="W320" s="2047"/>
      <c r="X320" s="2047"/>
      <c r="Y320" s="2047"/>
      <c r="Z320" s="2047"/>
      <c r="AA320" s="2047"/>
      <c r="AB320" s="2047"/>
      <c r="AC320" s="2047"/>
      <c r="AD320" s="2047"/>
      <c r="AE320" s="2047"/>
      <c r="AF320" s="2048"/>
      <c r="AJ320" s="1369"/>
      <c r="AK320" s="1369"/>
      <c r="AL320" s="1369"/>
      <c r="AM320" s="1369"/>
      <c r="AN320" s="1369"/>
      <c r="AO320" s="1369"/>
      <c r="AP320" s="1369"/>
      <c r="AQ320" s="1369"/>
      <c r="AR320" s="1369"/>
      <c r="AS320" s="1369"/>
      <c r="AT320" s="1369"/>
      <c r="AU320" s="1369"/>
      <c r="AV320" s="1369"/>
      <c r="AW320" s="1369"/>
      <c r="AX320" s="1369"/>
      <c r="AY320" s="1369"/>
      <c r="AZ320" s="1369"/>
      <c r="BA320" s="1369"/>
      <c r="BB320" s="1369"/>
      <c r="BC320" s="1369"/>
      <c r="BD320" s="1369"/>
      <c r="BE320" s="1369"/>
      <c r="BF320" s="1369"/>
      <c r="BG320" s="1369"/>
      <c r="BH320" s="1369"/>
      <c r="BI320" s="1369"/>
      <c r="BJ320" s="1369"/>
      <c r="BK320" s="1369"/>
      <c r="BL320" s="1369"/>
      <c r="BM320" s="1369"/>
      <c r="BN320" s="1369"/>
      <c r="BO320" s="1369"/>
    </row>
    <row r="321" spans="2:67" ht="15" customHeight="1">
      <c r="B321" s="2052"/>
      <c r="C321" s="2047"/>
      <c r="D321" s="2047"/>
      <c r="E321" s="2047"/>
      <c r="F321" s="2047"/>
      <c r="G321" s="2047"/>
      <c r="H321" s="2047"/>
      <c r="I321" s="2047"/>
      <c r="J321" s="2047"/>
      <c r="K321" s="2047"/>
      <c r="L321" s="2047"/>
      <c r="M321" s="2047"/>
      <c r="N321" s="2047"/>
      <c r="O321" s="2047"/>
      <c r="P321" s="2048"/>
      <c r="Q321" s="578"/>
      <c r="R321" s="2052"/>
      <c r="S321" s="2047"/>
      <c r="T321" s="2047"/>
      <c r="U321" s="2047"/>
      <c r="V321" s="2047"/>
      <c r="W321" s="2047"/>
      <c r="X321" s="2047"/>
      <c r="Y321" s="2047"/>
      <c r="Z321" s="2047"/>
      <c r="AA321" s="2047"/>
      <c r="AB321" s="2047"/>
      <c r="AC321" s="2047"/>
      <c r="AD321" s="2047"/>
      <c r="AE321" s="2047"/>
      <c r="AF321" s="2048"/>
      <c r="AJ321" s="1369"/>
      <c r="AK321" s="1369"/>
      <c r="AL321" s="1369"/>
      <c r="AM321" s="1369"/>
      <c r="AN321" s="1369"/>
      <c r="AO321" s="1369"/>
      <c r="AP321" s="1369"/>
      <c r="AQ321" s="1369"/>
      <c r="AR321" s="1369"/>
      <c r="AS321" s="1369"/>
      <c r="AT321" s="1369"/>
      <c r="AU321" s="1369"/>
      <c r="AV321" s="1369"/>
      <c r="AW321" s="1369"/>
      <c r="AX321" s="1369"/>
      <c r="AY321" s="1369"/>
      <c r="AZ321" s="1369"/>
      <c r="BA321" s="1369"/>
      <c r="BB321" s="1369"/>
      <c r="BC321" s="1369"/>
      <c r="BD321" s="1369"/>
      <c r="BE321" s="1369"/>
      <c r="BF321" s="1369"/>
      <c r="BG321" s="1369"/>
      <c r="BH321" s="1369"/>
      <c r="BI321" s="1369"/>
      <c r="BJ321" s="1369"/>
      <c r="BK321" s="1369"/>
      <c r="BL321" s="1369"/>
      <c r="BM321" s="1369"/>
      <c r="BN321" s="1369"/>
      <c r="BO321" s="1369"/>
    </row>
    <row r="322" spans="2:67" ht="15" customHeight="1">
      <c r="B322" s="2052"/>
      <c r="C322" s="2047"/>
      <c r="D322" s="2047"/>
      <c r="E322" s="2047"/>
      <c r="F322" s="2047"/>
      <c r="G322" s="2047"/>
      <c r="H322" s="2047"/>
      <c r="I322" s="2047"/>
      <c r="J322" s="2047"/>
      <c r="K322" s="2047"/>
      <c r="L322" s="2047"/>
      <c r="M322" s="2047"/>
      <c r="N322" s="2047"/>
      <c r="O322" s="2047"/>
      <c r="P322" s="2048"/>
      <c r="Q322" s="578"/>
      <c r="R322" s="2052"/>
      <c r="S322" s="2047"/>
      <c r="T322" s="2047"/>
      <c r="U322" s="2047"/>
      <c r="V322" s="2047"/>
      <c r="W322" s="2047"/>
      <c r="X322" s="2047"/>
      <c r="Y322" s="2047"/>
      <c r="Z322" s="2047"/>
      <c r="AA322" s="2047"/>
      <c r="AB322" s="2047"/>
      <c r="AC322" s="2047"/>
      <c r="AD322" s="2047"/>
      <c r="AE322" s="2047"/>
      <c r="AF322" s="2048"/>
      <c r="AJ322" s="1369"/>
      <c r="AK322" s="1369"/>
      <c r="AL322" s="1369"/>
      <c r="AM322" s="1369"/>
      <c r="AN322" s="1369"/>
      <c r="AO322" s="1369"/>
      <c r="AP322" s="1369"/>
      <c r="AQ322" s="1369"/>
      <c r="AR322" s="1369"/>
      <c r="AS322" s="1369"/>
      <c r="AT322" s="1369"/>
      <c r="AU322" s="1369"/>
      <c r="AV322" s="1369"/>
      <c r="AW322" s="1369"/>
      <c r="AX322" s="1369"/>
      <c r="AY322" s="1369"/>
      <c r="AZ322" s="1369"/>
      <c r="BA322" s="1369"/>
      <c r="BB322" s="1369"/>
      <c r="BC322" s="1369"/>
      <c r="BD322" s="1369"/>
      <c r="BE322" s="1369"/>
      <c r="BF322" s="1369"/>
      <c r="BG322" s="1369"/>
      <c r="BH322" s="1369"/>
      <c r="BI322" s="1369"/>
      <c r="BJ322" s="1369"/>
      <c r="BK322" s="1369"/>
      <c r="BL322" s="1369"/>
      <c r="BM322" s="1369"/>
      <c r="BN322" s="1369"/>
      <c r="BO322" s="1369"/>
    </row>
    <row r="323" spans="2:67" ht="15" customHeight="1">
      <c r="B323" s="2052"/>
      <c r="C323" s="2047"/>
      <c r="D323" s="2047"/>
      <c r="E323" s="2047"/>
      <c r="F323" s="2047"/>
      <c r="G323" s="2047"/>
      <c r="H323" s="2047"/>
      <c r="I323" s="2047"/>
      <c r="J323" s="2047"/>
      <c r="K323" s="2047"/>
      <c r="L323" s="2047"/>
      <c r="M323" s="2047"/>
      <c r="N323" s="2047"/>
      <c r="O323" s="2047"/>
      <c r="P323" s="2048"/>
      <c r="Q323" s="578"/>
      <c r="R323" s="2052"/>
      <c r="S323" s="2047"/>
      <c r="T323" s="2047"/>
      <c r="U323" s="2047"/>
      <c r="V323" s="2047"/>
      <c r="W323" s="2047"/>
      <c r="X323" s="2047"/>
      <c r="Y323" s="2047"/>
      <c r="Z323" s="2047"/>
      <c r="AA323" s="2047"/>
      <c r="AB323" s="2047"/>
      <c r="AC323" s="2047"/>
      <c r="AD323" s="2047"/>
      <c r="AE323" s="2047"/>
      <c r="AF323" s="2048"/>
    </row>
    <row r="324" spans="2:67" ht="15" customHeight="1">
      <c r="B324" s="2052"/>
      <c r="C324" s="2047"/>
      <c r="D324" s="2047"/>
      <c r="E324" s="2047"/>
      <c r="F324" s="2047"/>
      <c r="G324" s="2047"/>
      <c r="H324" s="2047"/>
      <c r="I324" s="2047"/>
      <c r="J324" s="2047"/>
      <c r="K324" s="2047"/>
      <c r="L324" s="2047"/>
      <c r="M324" s="2047"/>
      <c r="N324" s="2047"/>
      <c r="O324" s="2047"/>
      <c r="P324" s="2048"/>
      <c r="Q324" s="578"/>
      <c r="R324" s="2052"/>
      <c r="S324" s="2047"/>
      <c r="T324" s="2047"/>
      <c r="U324" s="2047"/>
      <c r="V324" s="2047"/>
      <c r="W324" s="2047"/>
      <c r="X324" s="2047"/>
      <c r="Y324" s="2047"/>
      <c r="Z324" s="2047"/>
      <c r="AA324" s="2047"/>
      <c r="AB324" s="2047"/>
      <c r="AC324" s="2047"/>
      <c r="AD324" s="2047"/>
      <c r="AE324" s="2047"/>
      <c r="AF324" s="2048"/>
    </row>
    <row r="325" spans="2:67" ht="15" customHeight="1">
      <c r="B325" s="2052"/>
      <c r="C325" s="2047"/>
      <c r="D325" s="2047"/>
      <c r="E325" s="2047"/>
      <c r="F325" s="2047"/>
      <c r="G325" s="2047"/>
      <c r="H325" s="2047"/>
      <c r="I325" s="2047"/>
      <c r="J325" s="2047"/>
      <c r="K325" s="2047"/>
      <c r="L325" s="2047"/>
      <c r="M325" s="2047"/>
      <c r="N325" s="2047"/>
      <c r="O325" s="2047"/>
      <c r="P325" s="2048"/>
      <c r="Q325" s="578"/>
      <c r="R325" s="2052"/>
      <c r="S325" s="2047"/>
      <c r="T325" s="2047"/>
      <c r="U325" s="2047"/>
      <c r="V325" s="2047"/>
      <c r="W325" s="2047"/>
      <c r="X325" s="2047"/>
      <c r="Y325" s="2047"/>
      <c r="Z325" s="2047"/>
      <c r="AA325" s="2047"/>
      <c r="AB325" s="2047"/>
      <c r="AC325" s="2047"/>
      <c r="AD325" s="2047"/>
      <c r="AE325" s="2047"/>
      <c r="AF325" s="2048"/>
    </row>
    <row r="326" spans="2:67" ht="15" customHeight="1">
      <c r="B326" s="2052"/>
      <c r="C326" s="2047"/>
      <c r="D326" s="2047"/>
      <c r="E326" s="2047"/>
      <c r="F326" s="2047"/>
      <c r="G326" s="2047"/>
      <c r="H326" s="2047"/>
      <c r="I326" s="2047"/>
      <c r="J326" s="2047"/>
      <c r="K326" s="2047"/>
      <c r="L326" s="2047"/>
      <c r="M326" s="2047"/>
      <c r="N326" s="2047"/>
      <c r="O326" s="2047"/>
      <c r="P326" s="2048"/>
      <c r="Q326" s="578"/>
      <c r="R326" s="2052"/>
      <c r="S326" s="2047"/>
      <c r="T326" s="2047"/>
      <c r="U326" s="2047"/>
      <c r="V326" s="2047"/>
      <c r="W326" s="2047"/>
      <c r="X326" s="2047"/>
      <c r="Y326" s="2047"/>
      <c r="Z326" s="2047"/>
      <c r="AA326" s="2047"/>
      <c r="AB326" s="2047"/>
      <c r="AC326" s="2047"/>
      <c r="AD326" s="2047"/>
      <c r="AE326" s="2047"/>
      <c r="AF326" s="2048"/>
    </row>
    <row r="327" spans="2:67" ht="15" customHeight="1">
      <c r="B327" s="2052"/>
      <c r="C327" s="2047"/>
      <c r="D327" s="2047"/>
      <c r="E327" s="2047"/>
      <c r="F327" s="2047"/>
      <c r="G327" s="2047"/>
      <c r="H327" s="2047"/>
      <c r="I327" s="2047"/>
      <c r="J327" s="2047"/>
      <c r="K327" s="2047"/>
      <c r="L327" s="2047"/>
      <c r="M327" s="2047"/>
      <c r="N327" s="2047"/>
      <c r="O327" s="2047"/>
      <c r="P327" s="2048"/>
      <c r="Q327" s="578"/>
      <c r="R327" s="2052"/>
      <c r="S327" s="2047"/>
      <c r="T327" s="2047"/>
      <c r="U327" s="2047"/>
      <c r="V327" s="2047"/>
      <c r="W327" s="2047"/>
      <c r="X327" s="2047"/>
      <c r="Y327" s="2047"/>
      <c r="Z327" s="2047"/>
      <c r="AA327" s="2047"/>
      <c r="AB327" s="2047"/>
      <c r="AC327" s="2047"/>
      <c r="AD327" s="2047"/>
      <c r="AE327" s="2047"/>
      <c r="AF327" s="2048"/>
    </row>
    <row r="328" spans="2:67" ht="15" customHeight="1">
      <c r="B328" s="2052"/>
      <c r="C328" s="2047"/>
      <c r="D328" s="2047"/>
      <c r="E328" s="2047"/>
      <c r="F328" s="2047"/>
      <c r="G328" s="2047"/>
      <c r="H328" s="2047"/>
      <c r="I328" s="2047"/>
      <c r="J328" s="2047"/>
      <c r="K328" s="2047"/>
      <c r="L328" s="2047"/>
      <c r="M328" s="2047"/>
      <c r="N328" s="2047"/>
      <c r="O328" s="2047"/>
      <c r="P328" s="2048"/>
      <c r="Q328" s="578"/>
      <c r="R328" s="2052"/>
      <c r="S328" s="2047"/>
      <c r="T328" s="2047"/>
      <c r="U328" s="2047"/>
      <c r="V328" s="2047"/>
      <c r="W328" s="2047"/>
      <c r="X328" s="2047"/>
      <c r="Y328" s="2047"/>
      <c r="Z328" s="2047"/>
      <c r="AA328" s="2047"/>
      <c r="AB328" s="2047"/>
      <c r="AC328" s="2047"/>
      <c r="AD328" s="2047"/>
      <c r="AE328" s="2047"/>
      <c r="AF328" s="2048"/>
    </row>
    <row r="329" spans="2:67" ht="15" customHeight="1">
      <c r="B329" s="2053"/>
      <c r="C329" s="2049"/>
      <c r="D329" s="2049"/>
      <c r="E329" s="2049"/>
      <c r="F329" s="2049"/>
      <c r="G329" s="2049"/>
      <c r="H329" s="2049"/>
      <c r="I329" s="2049"/>
      <c r="J329" s="2049"/>
      <c r="K329" s="2049"/>
      <c r="L329" s="2049"/>
      <c r="M329" s="2049"/>
      <c r="N329" s="2049"/>
      <c r="O329" s="2049"/>
      <c r="P329" s="2050"/>
      <c r="Q329" s="578"/>
      <c r="R329" s="2053"/>
      <c r="S329" s="2049"/>
      <c r="T329" s="2049"/>
      <c r="U329" s="2049"/>
      <c r="V329" s="2049"/>
      <c r="W329" s="2049"/>
      <c r="X329" s="2049"/>
      <c r="Y329" s="2049"/>
      <c r="Z329" s="2049"/>
      <c r="AA329" s="2049"/>
      <c r="AB329" s="2049"/>
      <c r="AC329" s="2049"/>
      <c r="AD329" s="2049"/>
      <c r="AE329" s="2049"/>
      <c r="AF329" s="2050"/>
    </row>
    <row r="330" spans="2:67" ht="15" customHeight="1">
      <c r="B330" s="645"/>
      <c r="C330" s="645"/>
      <c r="D330" s="645"/>
      <c r="E330" s="645"/>
      <c r="F330" s="645"/>
      <c r="G330" s="645"/>
      <c r="H330" s="645"/>
      <c r="I330" s="645"/>
      <c r="J330" s="645"/>
      <c r="K330" s="645"/>
      <c r="L330" s="645"/>
      <c r="M330" s="645"/>
      <c r="N330" s="645"/>
      <c r="O330" s="645"/>
      <c r="P330" s="645"/>
      <c r="Q330" s="645"/>
      <c r="R330" s="645"/>
      <c r="S330" s="645"/>
      <c r="T330" s="645"/>
      <c r="U330" s="645"/>
      <c r="V330" s="645"/>
      <c r="W330" s="645"/>
      <c r="X330" s="645"/>
      <c r="Y330" s="645"/>
      <c r="Z330" s="645"/>
      <c r="AA330" s="645"/>
      <c r="AB330" s="645"/>
      <c r="AC330" s="645"/>
      <c r="AD330" s="645"/>
      <c r="AE330" s="645"/>
      <c r="AF330" s="645"/>
    </row>
    <row r="331" spans="2:67" ht="15" customHeight="1">
      <c r="B331" s="1989" t="s">
        <v>976</v>
      </c>
      <c r="C331" s="1990"/>
      <c r="D331" s="1990"/>
      <c r="E331" s="1990"/>
      <c r="F331" s="1990"/>
      <c r="G331" s="1990"/>
      <c r="H331" s="1990"/>
      <c r="I331" s="1990"/>
      <c r="J331" s="1990"/>
      <c r="K331" s="1990"/>
      <c r="L331" s="1990"/>
      <c r="M331" s="1990"/>
      <c r="N331" s="1990"/>
      <c r="O331" s="1990"/>
      <c r="P331" s="1991"/>
      <c r="Q331" s="580"/>
      <c r="R331" s="1989" t="s">
        <v>1001</v>
      </c>
      <c r="S331" s="1990"/>
      <c r="T331" s="1990"/>
      <c r="U331" s="1990"/>
      <c r="V331" s="1990"/>
      <c r="W331" s="1990"/>
      <c r="X331" s="1990"/>
      <c r="Y331" s="1990"/>
      <c r="Z331" s="1990"/>
      <c r="AA331" s="1990"/>
      <c r="AB331" s="1990"/>
      <c r="AC331" s="1990"/>
      <c r="AD331" s="1990"/>
      <c r="AE331" s="1990"/>
      <c r="AF331" s="1991"/>
    </row>
    <row r="332" spans="2:67" ht="15" customHeight="1">
      <c r="B332" s="1992"/>
      <c r="C332" s="1993"/>
      <c r="D332" s="1993"/>
      <c r="E332" s="1993"/>
      <c r="F332" s="1993"/>
      <c r="G332" s="1993"/>
      <c r="H332" s="1993"/>
      <c r="I332" s="1993"/>
      <c r="J332" s="1993"/>
      <c r="K332" s="1993"/>
      <c r="L332" s="1993"/>
      <c r="M332" s="1993"/>
      <c r="N332" s="1993"/>
      <c r="O332" s="1993"/>
      <c r="P332" s="1994"/>
      <c r="Q332" s="580"/>
      <c r="R332" s="1992"/>
      <c r="S332" s="1993"/>
      <c r="T332" s="1993"/>
      <c r="U332" s="1993"/>
      <c r="V332" s="1993"/>
      <c r="W332" s="1993"/>
      <c r="X332" s="1993"/>
      <c r="Y332" s="1993"/>
      <c r="Z332" s="1993"/>
      <c r="AA332" s="1993"/>
      <c r="AB332" s="1993"/>
      <c r="AC332" s="1993"/>
      <c r="AD332" s="1993"/>
      <c r="AE332" s="1993"/>
      <c r="AF332" s="1994"/>
    </row>
    <row r="333" spans="2:67" ht="15" customHeight="1">
      <c r="B333" s="1995"/>
      <c r="C333" s="1996"/>
      <c r="D333" s="1996"/>
      <c r="E333" s="1996"/>
      <c r="F333" s="1996"/>
      <c r="G333" s="1996"/>
      <c r="H333" s="1996"/>
      <c r="I333" s="1996"/>
      <c r="J333" s="1996"/>
      <c r="K333" s="1996"/>
      <c r="L333" s="1996"/>
      <c r="M333" s="1996"/>
      <c r="N333" s="1996"/>
      <c r="O333" s="1996"/>
      <c r="P333" s="1997"/>
      <c r="Q333" s="579"/>
      <c r="R333" s="1995"/>
      <c r="S333" s="1996"/>
      <c r="T333" s="1996"/>
      <c r="U333" s="1996"/>
      <c r="V333" s="1996"/>
      <c r="W333" s="1996"/>
      <c r="X333" s="1996"/>
      <c r="Y333" s="1996"/>
      <c r="Z333" s="1996"/>
      <c r="AA333" s="1996"/>
      <c r="AB333" s="1996"/>
      <c r="AC333" s="1996"/>
      <c r="AD333" s="1996"/>
      <c r="AE333" s="1996"/>
      <c r="AF333" s="1997"/>
    </row>
    <row r="334" spans="2:67" ht="15" customHeight="1">
      <c r="B334" s="364"/>
      <c r="C334" s="364"/>
      <c r="D334" s="364"/>
      <c r="E334" s="364"/>
      <c r="F334" s="364"/>
      <c r="G334" s="364"/>
      <c r="H334" s="364"/>
      <c r="I334" s="364"/>
      <c r="J334" s="364"/>
      <c r="K334" s="364"/>
      <c r="L334" s="364"/>
      <c r="M334" s="364"/>
      <c r="N334" s="364"/>
      <c r="O334" s="364"/>
      <c r="P334" s="364"/>
      <c r="Q334" s="579"/>
      <c r="R334" s="364"/>
      <c r="S334" s="364"/>
      <c r="T334" s="364"/>
      <c r="U334" s="364"/>
      <c r="V334" s="364"/>
      <c r="W334" s="364"/>
      <c r="X334" s="364"/>
      <c r="Y334" s="364"/>
      <c r="Z334" s="364"/>
      <c r="AA334" s="364"/>
      <c r="AB334" s="364"/>
      <c r="AC334" s="364"/>
      <c r="AD334" s="364"/>
      <c r="AE334" s="364"/>
      <c r="AF334" s="364"/>
    </row>
    <row r="335" spans="2:67" ht="17.25" customHeight="1">
      <c r="B335" s="364"/>
      <c r="C335" s="364"/>
      <c r="D335" s="364"/>
      <c r="E335" s="364"/>
      <c r="F335" s="364"/>
      <c r="G335" s="364"/>
      <c r="H335" s="364"/>
      <c r="I335" s="364"/>
      <c r="J335" s="364"/>
      <c r="K335" s="364"/>
      <c r="L335" s="364"/>
      <c r="M335" s="364"/>
      <c r="N335" s="364"/>
      <c r="O335" s="364"/>
      <c r="P335" s="364"/>
      <c r="Q335" s="579"/>
      <c r="R335" s="364"/>
      <c r="S335" s="364"/>
      <c r="T335" s="364"/>
      <c r="U335" s="364"/>
      <c r="V335" s="364"/>
      <c r="W335" s="364"/>
      <c r="X335" s="364"/>
      <c r="Y335" s="364"/>
      <c r="Z335" s="364"/>
      <c r="AA335" s="364"/>
      <c r="AB335" s="364"/>
      <c r="AC335" s="364"/>
      <c r="AD335" s="364"/>
      <c r="AE335" s="364"/>
      <c r="AF335" s="364"/>
    </row>
    <row r="336" spans="2:67" ht="15" customHeight="1" thickBot="1">
      <c r="B336" s="645"/>
      <c r="C336" s="645"/>
      <c r="D336" s="645"/>
      <c r="E336" s="645"/>
      <c r="F336" s="645"/>
      <c r="G336" s="645"/>
      <c r="H336" s="645"/>
      <c r="I336" s="645"/>
      <c r="J336" s="645"/>
      <c r="K336" s="645"/>
      <c r="L336" s="645"/>
      <c r="M336" s="645"/>
      <c r="N336" s="645"/>
      <c r="O336" s="645"/>
      <c r="P336" s="645"/>
      <c r="Q336" s="645"/>
      <c r="R336" s="645"/>
      <c r="S336" s="645"/>
      <c r="T336" s="645"/>
      <c r="U336" s="645"/>
      <c r="V336" s="645"/>
      <c r="W336" s="645"/>
      <c r="X336" s="645"/>
      <c r="Y336" s="645"/>
      <c r="Z336" s="645"/>
      <c r="AA336" s="645"/>
      <c r="AB336" s="645"/>
      <c r="AC336" s="645"/>
      <c r="AD336" s="645"/>
      <c r="AE336" s="645"/>
      <c r="AF336" s="645"/>
    </row>
    <row r="337" spans="2:32" ht="21" customHeight="1" thickTop="1">
      <c r="B337" s="1998" t="str">
        <f>$B$76</f>
        <v>Execução das Obras de Macrodrenagem das Ruas Ceciliano Abel de Almeida e Lourenço Sales</v>
      </c>
      <c r="C337" s="1998"/>
      <c r="D337" s="1998"/>
      <c r="E337" s="1998"/>
      <c r="F337" s="1998"/>
      <c r="G337" s="1998"/>
      <c r="H337" s="1998"/>
      <c r="I337" s="1998"/>
      <c r="J337" s="1998"/>
      <c r="K337" s="1998"/>
      <c r="L337" s="1998"/>
      <c r="M337" s="1998"/>
      <c r="N337" s="1998"/>
      <c r="O337" s="1998"/>
      <c r="P337" s="1998"/>
      <c r="Q337" s="1998"/>
      <c r="R337" s="1998"/>
      <c r="S337" s="1998"/>
      <c r="T337" s="1998"/>
      <c r="U337" s="1998"/>
      <c r="V337" s="1998"/>
      <c r="W337" s="1998"/>
      <c r="X337" s="1998"/>
      <c r="Y337" s="1998"/>
      <c r="Z337" s="1998"/>
      <c r="AA337" s="1998"/>
      <c r="AB337" s="1998"/>
      <c r="AC337" s="1998"/>
      <c r="AD337" s="1998"/>
      <c r="AE337" s="1998"/>
      <c r="AF337" s="1998"/>
    </row>
    <row r="338" spans="2:32" s="349" customFormat="1" ht="20.100000000000001" customHeight="1" thickBot="1">
      <c r="B338" s="2078" t="str">
        <f>$B$1</f>
        <v>Consolidação de Elementos de Medição e Supervisão das Condições Trabalhistas</v>
      </c>
      <c r="C338" s="2078"/>
      <c r="D338" s="2078"/>
      <c r="E338" s="2078"/>
      <c r="F338" s="2078"/>
      <c r="G338" s="2078"/>
      <c r="H338" s="2078"/>
      <c r="I338" s="2078"/>
      <c r="J338" s="2078"/>
      <c r="K338" s="2078"/>
      <c r="L338" s="2078"/>
      <c r="M338" s="2078"/>
      <c r="N338" s="2078"/>
      <c r="O338" s="2078"/>
      <c r="P338" s="2078"/>
      <c r="Q338" s="2078"/>
      <c r="R338" s="2078"/>
      <c r="S338" s="2078"/>
      <c r="T338" s="2078"/>
      <c r="U338" s="2078"/>
      <c r="V338" s="2078"/>
      <c r="W338" s="2078"/>
      <c r="X338" s="2078"/>
      <c r="Y338" s="368"/>
      <c r="Z338" s="2079" t="str">
        <f>$AA$1</f>
        <v>CMRF 03/5222-08</v>
      </c>
      <c r="AA338" s="2079"/>
      <c r="AB338" s="2079"/>
      <c r="AC338" s="2079"/>
      <c r="AD338" s="2079"/>
      <c r="AE338" s="2079"/>
      <c r="AF338" s="2079"/>
    </row>
    <row r="339" spans="2:32" ht="15" customHeight="1" thickTop="1">
      <c r="B339" s="645"/>
      <c r="C339" s="645"/>
      <c r="D339" s="645"/>
      <c r="E339" s="645"/>
      <c r="F339" s="645"/>
      <c r="G339" s="645"/>
      <c r="H339" s="645"/>
      <c r="I339" s="645"/>
      <c r="J339" s="645"/>
      <c r="K339" s="645"/>
      <c r="L339" s="645"/>
      <c r="M339" s="645"/>
      <c r="N339" s="645"/>
      <c r="O339" s="645"/>
      <c r="P339" s="645"/>
      <c r="Q339" s="645"/>
      <c r="R339" s="645"/>
      <c r="S339" s="645"/>
      <c r="T339" s="645"/>
      <c r="U339" s="645"/>
      <c r="V339" s="645"/>
      <c r="W339" s="645"/>
      <c r="X339" s="645"/>
      <c r="Y339" s="645"/>
      <c r="Z339" s="645"/>
      <c r="AA339" s="645"/>
      <c r="AB339" s="645"/>
      <c r="AC339" s="645"/>
      <c r="AD339" s="645"/>
      <c r="AE339" s="645"/>
      <c r="AF339" s="645"/>
    </row>
    <row r="340" spans="2:32" ht="15" customHeight="1">
      <c r="B340" s="2062" t="s">
        <v>533</v>
      </c>
      <c r="C340" s="2060"/>
      <c r="D340" s="2060"/>
      <c r="E340" s="2060"/>
      <c r="F340" s="2060"/>
      <c r="G340" s="2060"/>
      <c r="H340" s="2060"/>
      <c r="I340" s="2060"/>
      <c r="J340" s="2060"/>
      <c r="K340" s="2060"/>
      <c r="L340" s="2060"/>
      <c r="M340" s="2060"/>
      <c r="N340" s="2060"/>
      <c r="O340" s="2060"/>
      <c r="P340" s="2060"/>
      <c r="Q340" s="2060"/>
      <c r="R340" s="2060"/>
      <c r="S340" s="2060"/>
      <c r="T340" s="2060"/>
      <c r="U340" s="2060"/>
      <c r="V340" s="2060"/>
      <c r="W340" s="2060"/>
      <c r="X340" s="2060"/>
      <c r="Y340" s="2060"/>
      <c r="Z340" s="2060"/>
      <c r="AA340" s="2060"/>
      <c r="AB340" s="2060"/>
      <c r="AC340" s="2060"/>
      <c r="AD340" s="2060"/>
      <c r="AE340" s="2060"/>
      <c r="AF340" s="2063"/>
    </row>
    <row r="341" spans="2:32" ht="15" customHeight="1">
      <c r="B341" s="2064"/>
      <c r="C341" s="2061"/>
      <c r="D341" s="2061"/>
      <c r="E341" s="2061"/>
      <c r="F341" s="2061"/>
      <c r="G341" s="2061"/>
      <c r="H341" s="2061"/>
      <c r="I341" s="2061"/>
      <c r="J341" s="2061"/>
      <c r="K341" s="2061"/>
      <c r="L341" s="2061"/>
      <c r="M341" s="2061"/>
      <c r="N341" s="2061"/>
      <c r="O341" s="2061"/>
      <c r="P341" s="2061"/>
      <c r="Q341" s="2061"/>
      <c r="R341" s="2061"/>
      <c r="S341" s="2061"/>
      <c r="T341" s="2061"/>
      <c r="U341" s="2061"/>
      <c r="V341" s="2061"/>
      <c r="W341" s="2061"/>
      <c r="X341" s="2061"/>
      <c r="Y341" s="2061"/>
      <c r="Z341" s="2061"/>
      <c r="AA341" s="2061"/>
      <c r="AB341" s="2061"/>
      <c r="AC341" s="2061"/>
      <c r="AD341" s="2061"/>
      <c r="AE341" s="2061"/>
      <c r="AF341" s="2065"/>
    </row>
    <row r="342" spans="2:32" ht="15" customHeight="1">
      <c r="B342" s="365"/>
      <c r="C342" s="365"/>
      <c r="D342" s="365"/>
      <c r="E342" s="365"/>
      <c r="F342" s="365"/>
      <c r="G342" s="365"/>
      <c r="H342" s="365"/>
      <c r="I342" s="365"/>
      <c r="J342" s="365"/>
      <c r="K342" s="365"/>
      <c r="L342" s="365"/>
      <c r="M342" s="365"/>
      <c r="N342" s="365"/>
      <c r="O342" s="365"/>
      <c r="P342" s="365"/>
      <c r="Q342" s="365"/>
      <c r="R342" s="365"/>
      <c r="S342" s="365"/>
      <c r="T342" s="365"/>
      <c r="U342" s="365"/>
      <c r="V342" s="365"/>
      <c r="W342" s="365"/>
      <c r="X342" s="365"/>
      <c r="Y342" s="365"/>
      <c r="Z342" s="365"/>
      <c r="AA342" s="365"/>
      <c r="AB342" s="365"/>
      <c r="AC342" s="365"/>
      <c r="AD342" s="365"/>
      <c r="AE342" s="365"/>
      <c r="AF342" s="365"/>
    </row>
    <row r="343" spans="2:32" ht="15" customHeight="1">
      <c r="B343" s="365"/>
      <c r="C343" s="365"/>
      <c r="D343" s="2260" t="s">
        <v>725</v>
      </c>
      <c r="E343" s="2260"/>
      <c r="F343" s="2260"/>
      <c r="G343" s="2260"/>
      <c r="H343" s="2260"/>
      <c r="I343" s="2260"/>
      <c r="J343" s="2260"/>
      <c r="K343" s="2260"/>
      <c r="L343" s="2260"/>
      <c r="M343" s="2260"/>
      <c r="N343" s="2260"/>
      <c r="O343" s="2260"/>
      <c r="P343" s="2260"/>
      <c r="Q343" s="2260"/>
      <c r="R343" s="2260"/>
      <c r="S343" s="2260"/>
      <c r="T343" s="2260"/>
      <c r="U343" s="2260"/>
      <c r="V343" s="2260"/>
      <c r="W343" s="2260"/>
      <c r="X343" s="2260"/>
      <c r="Y343" s="2260"/>
      <c r="Z343" s="2260"/>
      <c r="AA343" s="2260"/>
      <c r="AB343" s="2260"/>
      <c r="AC343" s="2260"/>
      <c r="AD343" s="2260"/>
      <c r="AE343" s="365"/>
      <c r="AF343" s="365"/>
    </row>
    <row r="344" spans="2:32" ht="15" customHeight="1">
      <c r="B344" s="365"/>
      <c r="C344" s="365"/>
      <c r="D344" s="365"/>
      <c r="E344" s="365"/>
      <c r="F344" s="365"/>
      <c r="G344" s="365"/>
      <c r="H344" s="365"/>
      <c r="I344" s="365"/>
      <c r="J344" s="365"/>
      <c r="K344" s="365"/>
      <c r="L344" s="365"/>
      <c r="M344" s="365"/>
      <c r="N344" s="365"/>
      <c r="O344" s="365"/>
      <c r="P344" s="365"/>
      <c r="Q344" s="365"/>
      <c r="R344" s="365"/>
      <c r="S344" s="365"/>
      <c r="T344" s="365"/>
      <c r="U344" s="365"/>
      <c r="V344" s="365"/>
      <c r="W344" s="365"/>
      <c r="X344" s="365"/>
      <c r="Y344" s="365"/>
      <c r="Z344" s="365"/>
      <c r="AA344" s="365"/>
      <c r="AB344" s="365"/>
      <c r="AC344" s="365"/>
      <c r="AD344" s="365"/>
      <c r="AE344" s="365"/>
      <c r="AF344" s="365"/>
    </row>
    <row r="345" spans="2:32" ht="15" customHeight="1">
      <c r="B345" s="645"/>
      <c r="C345" s="645"/>
      <c r="D345" s="645"/>
      <c r="E345" s="645"/>
      <c r="F345" s="645"/>
      <c r="G345" s="645"/>
      <c r="H345" s="645"/>
      <c r="I345" s="645"/>
      <c r="J345" s="645"/>
      <c r="K345" s="645"/>
      <c r="L345" s="645"/>
      <c r="M345" s="645"/>
      <c r="N345" s="645"/>
      <c r="O345" s="645"/>
      <c r="P345" s="645"/>
      <c r="Q345" s="645"/>
      <c r="R345" s="645"/>
      <c r="S345" s="645"/>
      <c r="T345" s="645"/>
      <c r="U345" s="645"/>
      <c r="V345" s="645"/>
      <c r="W345" s="645"/>
      <c r="X345" s="645"/>
      <c r="Y345" s="645"/>
      <c r="Z345" s="645"/>
      <c r="AA345" s="645"/>
      <c r="AB345" s="645"/>
      <c r="AC345" s="645"/>
      <c r="AD345" s="645"/>
      <c r="AE345" s="645"/>
      <c r="AF345" s="645"/>
    </row>
    <row r="346" spans="2:32" ht="15" customHeight="1">
      <c r="B346" s="2051" t="s">
        <v>382</v>
      </c>
      <c r="C346" s="2045"/>
      <c r="D346" s="2045"/>
      <c r="E346" s="2045"/>
      <c r="F346" s="2045"/>
      <c r="G346" s="2045"/>
      <c r="H346" s="2045"/>
      <c r="I346" s="2045"/>
      <c r="J346" s="2045"/>
      <c r="K346" s="2045"/>
      <c r="L346" s="2045"/>
      <c r="M346" s="2045"/>
      <c r="N346" s="2045"/>
      <c r="O346" s="2045"/>
      <c r="P346" s="2046"/>
      <c r="Q346" s="578"/>
      <c r="R346" s="2051" t="s">
        <v>383</v>
      </c>
      <c r="S346" s="2045"/>
      <c r="T346" s="2045"/>
      <c r="U346" s="2045"/>
      <c r="V346" s="2045"/>
      <c r="W346" s="2045"/>
      <c r="X346" s="2045"/>
      <c r="Y346" s="2045"/>
      <c r="Z346" s="2045"/>
      <c r="AA346" s="2045"/>
      <c r="AB346" s="2045"/>
      <c r="AC346" s="2045"/>
      <c r="AD346" s="2045"/>
      <c r="AE346" s="2045"/>
      <c r="AF346" s="2046"/>
    </row>
    <row r="347" spans="2:32" ht="15" customHeight="1">
      <c r="B347" s="2052"/>
      <c r="C347" s="2047"/>
      <c r="D347" s="2047"/>
      <c r="E347" s="2047"/>
      <c r="F347" s="2047"/>
      <c r="G347" s="2047"/>
      <c r="H347" s="2047"/>
      <c r="I347" s="2047"/>
      <c r="J347" s="2047"/>
      <c r="K347" s="2047"/>
      <c r="L347" s="2047"/>
      <c r="M347" s="2047"/>
      <c r="N347" s="2047"/>
      <c r="O347" s="2047"/>
      <c r="P347" s="2048"/>
      <c r="Q347" s="578"/>
      <c r="R347" s="2052"/>
      <c r="S347" s="2047"/>
      <c r="T347" s="2047"/>
      <c r="U347" s="2047"/>
      <c r="V347" s="2047"/>
      <c r="W347" s="2047"/>
      <c r="X347" s="2047"/>
      <c r="Y347" s="2047"/>
      <c r="Z347" s="2047"/>
      <c r="AA347" s="2047"/>
      <c r="AB347" s="2047"/>
      <c r="AC347" s="2047"/>
      <c r="AD347" s="2047"/>
      <c r="AE347" s="2047"/>
      <c r="AF347" s="2048"/>
    </row>
    <row r="348" spans="2:32" ht="15" customHeight="1">
      <c r="B348" s="2052"/>
      <c r="C348" s="2047"/>
      <c r="D348" s="2047"/>
      <c r="E348" s="2047"/>
      <c r="F348" s="2047"/>
      <c r="G348" s="2047"/>
      <c r="H348" s="2047"/>
      <c r="I348" s="2047"/>
      <c r="J348" s="2047"/>
      <c r="K348" s="2047"/>
      <c r="L348" s="2047"/>
      <c r="M348" s="2047"/>
      <c r="N348" s="2047"/>
      <c r="O348" s="2047"/>
      <c r="P348" s="2048"/>
      <c r="Q348" s="578"/>
      <c r="R348" s="2052"/>
      <c r="S348" s="2047"/>
      <c r="T348" s="2047"/>
      <c r="U348" s="2047"/>
      <c r="V348" s="2047"/>
      <c r="W348" s="2047"/>
      <c r="X348" s="2047"/>
      <c r="Y348" s="2047"/>
      <c r="Z348" s="2047"/>
      <c r="AA348" s="2047"/>
      <c r="AB348" s="2047"/>
      <c r="AC348" s="2047"/>
      <c r="AD348" s="2047"/>
      <c r="AE348" s="2047"/>
      <c r="AF348" s="2048"/>
    </row>
    <row r="349" spans="2:32" ht="15" customHeight="1">
      <c r="B349" s="2052"/>
      <c r="C349" s="2047"/>
      <c r="D349" s="2047"/>
      <c r="E349" s="2047"/>
      <c r="F349" s="2047"/>
      <c r="G349" s="2047"/>
      <c r="H349" s="2047"/>
      <c r="I349" s="2047"/>
      <c r="J349" s="2047"/>
      <c r="K349" s="2047"/>
      <c r="L349" s="2047"/>
      <c r="M349" s="2047"/>
      <c r="N349" s="2047"/>
      <c r="O349" s="2047"/>
      <c r="P349" s="2048"/>
      <c r="Q349" s="578"/>
      <c r="R349" s="2052"/>
      <c r="S349" s="2047"/>
      <c r="T349" s="2047"/>
      <c r="U349" s="2047"/>
      <c r="V349" s="2047"/>
      <c r="W349" s="2047"/>
      <c r="X349" s="2047"/>
      <c r="Y349" s="2047"/>
      <c r="Z349" s="2047"/>
      <c r="AA349" s="2047"/>
      <c r="AB349" s="2047"/>
      <c r="AC349" s="2047"/>
      <c r="AD349" s="2047"/>
      <c r="AE349" s="2047"/>
      <c r="AF349" s="2048"/>
    </row>
    <row r="350" spans="2:32" ht="15" customHeight="1">
      <c r="B350" s="2052"/>
      <c r="C350" s="2047"/>
      <c r="D350" s="2047"/>
      <c r="E350" s="2047"/>
      <c r="F350" s="2047"/>
      <c r="G350" s="2047"/>
      <c r="H350" s="2047"/>
      <c r="I350" s="2047"/>
      <c r="J350" s="2047"/>
      <c r="K350" s="2047"/>
      <c r="L350" s="2047"/>
      <c r="M350" s="2047"/>
      <c r="N350" s="2047"/>
      <c r="O350" s="2047"/>
      <c r="P350" s="2048"/>
      <c r="Q350" s="578"/>
      <c r="R350" s="2052"/>
      <c r="S350" s="2047"/>
      <c r="T350" s="2047"/>
      <c r="U350" s="2047"/>
      <c r="V350" s="2047"/>
      <c r="W350" s="2047"/>
      <c r="X350" s="2047"/>
      <c r="Y350" s="2047"/>
      <c r="Z350" s="2047"/>
      <c r="AA350" s="2047"/>
      <c r="AB350" s="2047"/>
      <c r="AC350" s="2047"/>
      <c r="AD350" s="2047"/>
      <c r="AE350" s="2047"/>
      <c r="AF350" s="2048"/>
    </row>
    <row r="351" spans="2:32" ht="15" customHeight="1">
      <c r="B351" s="2052"/>
      <c r="C351" s="2047"/>
      <c r="D351" s="2047"/>
      <c r="E351" s="2047"/>
      <c r="F351" s="2047"/>
      <c r="G351" s="2047"/>
      <c r="H351" s="2047"/>
      <c r="I351" s="2047"/>
      <c r="J351" s="2047"/>
      <c r="K351" s="2047"/>
      <c r="L351" s="2047"/>
      <c r="M351" s="2047"/>
      <c r="N351" s="2047"/>
      <c r="O351" s="2047"/>
      <c r="P351" s="2048"/>
      <c r="Q351" s="578"/>
      <c r="R351" s="2052"/>
      <c r="S351" s="2047"/>
      <c r="T351" s="2047"/>
      <c r="U351" s="2047"/>
      <c r="V351" s="2047"/>
      <c r="W351" s="2047"/>
      <c r="X351" s="2047"/>
      <c r="Y351" s="2047"/>
      <c r="Z351" s="2047"/>
      <c r="AA351" s="2047"/>
      <c r="AB351" s="2047"/>
      <c r="AC351" s="2047"/>
      <c r="AD351" s="2047"/>
      <c r="AE351" s="2047"/>
      <c r="AF351" s="2048"/>
    </row>
    <row r="352" spans="2:32" ht="15" customHeight="1">
      <c r="B352" s="2052"/>
      <c r="C352" s="2047"/>
      <c r="D352" s="2047"/>
      <c r="E352" s="2047"/>
      <c r="F352" s="2047"/>
      <c r="G352" s="2047"/>
      <c r="H352" s="2047"/>
      <c r="I352" s="2047"/>
      <c r="J352" s="2047"/>
      <c r="K352" s="2047"/>
      <c r="L352" s="2047"/>
      <c r="M352" s="2047"/>
      <c r="N352" s="2047"/>
      <c r="O352" s="2047"/>
      <c r="P352" s="2048"/>
      <c r="Q352" s="578"/>
      <c r="R352" s="2052"/>
      <c r="S352" s="2047"/>
      <c r="T352" s="2047"/>
      <c r="U352" s="2047"/>
      <c r="V352" s="2047"/>
      <c r="W352" s="2047"/>
      <c r="X352" s="2047"/>
      <c r="Y352" s="2047"/>
      <c r="Z352" s="2047"/>
      <c r="AA352" s="2047"/>
      <c r="AB352" s="2047"/>
      <c r="AC352" s="2047"/>
      <c r="AD352" s="2047"/>
      <c r="AE352" s="2047"/>
      <c r="AF352" s="2048"/>
    </row>
    <row r="353" spans="2:32" ht="15" customHeight="1">
      <c r="B353" s="2052"/>
      <c r="C353" s="2047"/>
      <c r="D353" s="2047"/>
      <c r="E353" s="2047"/>
      <c r="F353" s="2047"/>
      <c r="G353" s="2047"/>
      <c r="H353" s="2047"/>
      <c r="I353" s="2047"/>
      <c r="J353" s="2047"/>
      <c r="K353" s="2047"/>
      <c r="L353" s="2047"/>
      <c r="M353" s="2047"/>
      <c r="N353" s="2047"/>
      <c r="O353" s="2047"/>
      <c r="P353" s="2048"/>
      <c r="Q353" s="578"/>
      <c r="R353" s="2052"/>
      <c r="S353" s="2047"/>
      <c r="T353" s="2047"/>
      <c r="U353" s="2047"/>
      <c r="V353" s="2047"/>
      <c r="W353" s="2047"/>
      <c r="X353" s="2047"/>
      <c r="Y353" s="2047"/>
      <c r="Z353" s="2047"/>
      <c r="AA353" s="2047"/>
      <c r="AB353" s="2047"/>
      <c r="AC353" s="2047"/>
      <c r="AD353" s="2047"/>
      <c r="AE353" s="2047"/>
      <c r="AF353" s="2048"/>
    </row>
    <row r="354" spans="2:32" ht="15" customHeight="1">
      <c r="B354" s="2052"/>
      <c r="C354" s="2047"/>
      <c r="D354" s="2047"/>
      <c r="E354" s="2047"/>
      <c r="F354" s="2047"/>
      <c r="G354" s="2047"/>
      <c r="H354" s="2047"/>
      <c r="I354" s="2047"/>
      <c r="J354" s="2047"/>
      <c r="K354" s="2047"/>
      <c r="L354" s="2047"/>
      <c r="M354" s="2047"/>
      <c r="N354" s="2047"/>
      <c r="O354" s="2047"/>
      <c r="P354" s="2048"/>
      <c r="Q354" s="578"/>
      <c r="R354" s="2052"/>
      <c r="S354" s="2047"/>
      <c r="T354" s="2047"/>
      <c r="U354" s="2047"/>
      <c r="V354" s="2047"/>
      <c r="W354" s="2047"/>
      <c r="X354" s="2047"/>
      <c r="Y354" s="2047"/>
      <c r="Z354" s="2047"/>
      <c r="AA354" s="2047"/>
      <c r="AB354" s="2047"/>
      <c r="AC354" s="2047"/>
      <c r="AD354" s="2047"/>
      <c r="AE354" s="2047"/>
      <c r="AF354" s="2048"/>
    </row>
    <row r="355" spans="2:32" ht="15" customHeight="1">
      <c r="B355" s="2052"/>
      <c r="C355" s="2047"/>
      <c r="D355" s="2047"/>
      <c r="E355" s="2047"/>
      <c r="F355" s="2047"/>
      <c r="G355" s="2047"/>
      <c r="H355" s="2047"/>
      <c r="I355" s="2047"/>
      <c r="J355" s="2047"/>
      <c r="K355" s="2047"/>
      <c r="L355" s="2047"/>
      <c r="M355" s="2047"/>
      <c r="N355" s="2047"/>
      <c r="O355" s="2047"/>
      <c r="P355" s="2048"/>
      <c r="Q355" s="578"/>
      <c r="R355" s="2052"/>
      <c r="S355" s="2047"/>
      <c r="T355" s="2047"/>
      <c r="U355" s="2047"/>
      <c r="V355" s="2047"/>
      <c r="W355" s="2047"/>
      <c r="X355" s="2047"/>
      <c r="Y355" s="2047"/>
      <c r="Z355" s="2047"/>
      <c r="AA355" s="2047"/>
      <c r="AB355" s="2047"/>
      <c r="AC355" s="2047"/>
      <c r="AD355" s="2047"/>
      <c r="AE355" s="2047"/>
      <c r="AF355" s="2048"/>
    </row>
    <row r="356" spans="2:32" ht="15" customHeight="1">
      <c r="B356" s="2052"/>
      <c r="C356" s="2047"/>
      <c r="D356" s="2047"/>
      <c r="E356" s="2047"/>
      <c r="F356" s="2047"/>
      <c r="G356" s="2047"/>
      <c r="H356" s="2047"/>
      <c r="I356" s="2047"/>
      <c r="J356" s="2047"/>
      <c r="K356" s="2047"/>
      <c r="L356" s="2047"/>
      <c r="M356" s="2047"/>
      <c r="N356" s="2047"/>
      <c r="O356" s="2047"/>
      <c r="P356" s="2048"/>
      <c r="Q356" s="578"/>
      <c r="R356" s="2052"/>
      <c r="S356" s="2047"/>
      <c r="T356" s="2047"/>
      <c r="U356" s="2047"/>
      <c r="V356" s="2047"/>
      <c r="W356" s="2047"/>
      <c r="X356" s="2047"/>
      <c r="Y356" s="2047"/>
      <c r="Z356" s="2047"/>
      <c r="AA356" s="2047"/>
      <c r="AB356" s="2047"/>
      <c r="AC356" s="2047"/>
      <c r="AD356" s="2047"/>
      <c r="AE356" s="2047"/>
      <c r="AF356" s="2048"/>
    </row>
    <row r="357" spans="2:32" ht="15" customHeight="1">
      <c r="B357" s="2053"/>
      <c r="C357" s="2049"/>
      <c r="D357" s="2049"/>
      <c r="E357" s="2049"/>
      <c r="F357" s="2049"/>
      <c r="G357" s="2049"/>
      <c r="H357" s="2049"/>
      <c r="I357" s="2049"/>
      <c r="J357" s="2049"/>
      <c r="K357" s="2049"/>
      <c r="L357" s="2049"/>
      <c r="M357" s="2049"/>
      <c r="N357" s="2049"/>
      <c r="O357" s="2049"/>
      <c r="P357" s="2050"/>
      <c r="Q357" s="578"/>
      <c r="R357" s="2053"/>
      <c r="S357" s="2049"/>
      <c r="T357" s="2049"/>
      <c r="U357" s="2049"/>
      <c r="V357" s="2049"/>
      <c r="W357" s="2049"/>
      <c r="X357" s="2049"/>
      <c r="Y357" s="2049"/>
      <c r="Z357" s="2049"/>
      <c r="AA357" s="2049"/>
      <c r="AB357" s="2049"/>
      <c r="AC357" s="2049"/>
      <c r="AD357" s="2049"/>
      <c r="AE357" s="2049"/>
      <c r="AF357" s="2050"/>
    </row>
    <row r="358" spans="2:32" ht="15" customHeight="1">
      <c r="B358" s="645"/>
      <c r="C358" s="645"/>
      <c r="D358" s="645"/>
      <c r="E358" s="645"/>
      <c r="F358" s="645"/>
      <c r="G358" s="645"/>
      <c r="H358" s="645"/>
      <c r="I358" s="645"/>
      <c r="J358" s="645"/>
      <c r="K358" s="645"/>
      <c r="L358" s="645"/>
      <c r="M358" s="645"/>
      <c r="N358" s="645"/>
      <c r="O358" s="645"/>
      <c r="P358" s="645"/>
      <c r="Q358" s="645"/>
      <c r="R358" s="645"/>
      <c r="S358" s="645"/>
      <c r="T358" s="645"/>
      <c r="U358" s="645"/>
      <c r="V358" s="645"/>
      <c r="W358" s="645"/>
      <c r="X358" s="645"/>
      <c r="Y358" s="645"/>
      <c r="Z358" s="645"/>
      <c r="AA358" s="645"/>
      <c r="AB358" s="645"/>
      <c r="AC358" s="645"/>
      <c r="AD358" s="645"/>
      <c r="AE358" s="645"/>
      <c r="AF358" s="645"/>
    </row>
    <row r="359" spans="2:32" ht="15" customHeight="1">
      <c r="B359" s="1989" t="s">
        <v>758</v>
      </c>
      <c r="C359" s="1990"/>
      <c r="D359" s="1990"/>
      <c r="E359" s="1990"/>
      <c r="F359" s="1990"/>
      <c r="G359" s="1990"/>
      <c r="H359" s="1990"/>
      <c r="I359" s="1990"/>
      <c r="J359" s="1990"/>
      <c r="K359" s="1990"/>
      <c r="L359" s="1990"/>
      <c r="M359" s="1990"/>
      <c r="N359" s="1990"/>
      <c r="O359" s="1990"/>
      <c r="P359" s="1991"/>
      <c r="Q359" s="580"/>
      <c r="R359" s="1989" t="s">
        <v>616</v>
      </c>
      <c r="S359" s="1990"/>
      <c r="T359" s="1990"/>
      <c r="U359" s="1990"/>
      <c r="V359" s="1990"/>
      <c r="W359" s="1990"/>
      <c r="X359" s="1990"/>
      <c r="Y359" s="1990"/>
      <c r="Z359" s="1990"/>
      <c r="AA359" s="1990"/>
      <c r="AB359" s="1990"/>
      <c r="AC359" s="1990"/>
      <c r="AD359" s="1990"/>
      <c r="AE359" s="1990"/>
      <c r="AF359" s="1991"/>
    </row>
    <row r="360" spans="2:32" ht="15" customHeight="1">
      <c r="B360" s="1992"/>
      <c r="C360" s="1993"/>
      <c r="D360" s="1993"/>
      <c r="E360" s="1993"/>
      <c r="F360" s="1993"/>
      <c r="G360" s="1993"/>
      <c r="H360" s="1993"/>
      <c r="I360" s="1993"/>
      <c r="J360" s="1993"/>
      <c r="K360" s="1993"/>
      <c r="L360" s="1993"/>
      <c r="M360" s="1993"/>
      <c r="N360" s="1993"/>
      <c r="O360" s="1993"/>
      <c r="P360" s="1994"/>
      <c r="Q360" s="580"/>
      <c r="R360" s="1992"/>
      <c r="S360" s="1993"/>
      <c r="T360" s="1993"/>
      <c r="U360" s="1993"/>
      <c r="V360" s="1993"/>
      <c r="W360" s="1993"/>
      <c r="X360" s="1993"/>
      <c r="Y360" s="1993"/>
      <c r="Z360" s="1993"/>
      <c r="AA360" s="1993"/>
      <c r="AB360" s="1993"/>
      <c r="AC360" s="1993"/>
      <c r="AD360" s="1993"/>
      <c r="AE360" s="1993"/>
      <c r="AF360" s="1994"/>
    </row>
    <row r="361" spans="2:32" ht="15" customHeight="1">
      <c r="B361" s="1995"/>
      <c r="C361" s="1996"/>
      <c r="D361" s="1996"/>
      <c r="E361" s="1996"/>
      <c r="F361" s="1996"/>
      <c r="G361" s="1996"/>
      <c r="H361" s="1996"/>
      <c r="I361" s="1996"/>
      <c r="J361" s="1996"/>
      <c r="K361" s="1996"/>
      <c r="L361" s="1996"/>
      <c r="M361" s="1996"/>
      <c r="N361" s="1996"/>
      <c r="O361" s="1996"/>
      <c r="P361" s="1997"/>
      <c r="Q361" s="579"/>
      <c r="R361" s="1995"/>
      <c r="S361" s="1996"/>
      <c r="T361" s="1996"/>
      <c r="U361" s="1996"/>
      <c r="V361" s="1996"/>
      <c r="W361" s="1996"/>
      <c r="X361" s="1996"/>
      <c r="Y361" s="1996"/>
      <c r="Z361" s="1996"/>
      <c r="AA361" s="1996"/>
      <c r="AB361" s="1996"/>
      <c r="AC361" s="1996"/>
      <c r="AD361" s="1996"/>
      <c r="AE361" s="1996"/>
      <c r="AF361" s="1997"/>
    </row>
    <row r="362" spans="2:32" ht="15" customHeight="1">
      <c r="B362" s="364"/>
      <c r="C362" s="364"/>
      <c r="D362" s="364"/>
      <c r="E362" s="364"/>
      <c r="F362" s="364"/>
      <c r="G362" s="364"/>
      <c r="H362" s="364"/>
      <c r="I362" s="364"/>
      <c r="J362" s="364"/>
      <c r="K362" s="364"/>
      <c r="L362" s="364"/>
      <c r="M362" s="364"/>
      <c r="N362" s="364"/>
      <c r="O362" s="364"/>
      <c r="P362" s="364"/>
      <c r="Q362" s="579"/>
      <c r="R362" s="364"/>
      <c r="S362" s="364"/>
      <c r="T362" s="364"/>
      <c r="U362" s="364"/>
      <c r="V362" s="364"/>
      <c r="W362" s="364"/>
      <c r="X362" s="364"/>
      <c r="Y362" s="364"/>
      <c r="Z362" s="364"/>
      <c r="AA362" s="364"/>
      <c r="AB362" s="364"/>
      <c r="AC362" s="364"/>
      <c r="AD362" s="364"/>
      <c r="AE362" s="364"/>
      <c r="AF362" s="364"/>
    </row>
    <row r="363" spans="2:32" ht="15" customHeight="1">
      <c r="B363" s="364"/>
      <c r="C363" s="364"/>
      <c r="D363" s="364"/>
      <c r="E363" s="364"/>
      <c r="F363" s="364"/>
      <c r="G363" s="364"/>
      <c r="H363" s="364"/>
      <c r="I363" s="364"/>
      <c r="J363" s="364"/>
      <c r="K363" s="364"/>
      <c r="L363" s="364"/>
      <c r="M363" s="364"/>
      <c r="N363" s="364"/>
      <c r="O363" s="364"/>
      <c r="P363" s="364"/>
      <c r="Q363" s="579"/>
      <c r="R363" s="364"/>
      <c r="S363" s="364"/>
      <c r="T363" s="364"/>
      <c r="U363" s="364"/>
      <c r="V363" s="364"/>
      <c r="W363" s="364"/>
      <c r="X363" s="364"/>
      <c r="Y363" s="364"/>
      <c r="Z363" s="364"/>
      <c r="AA363" s="364"/>
      <c r="AB363" s="364"/>
      <c r="AC363" s="364"/>
      <c r="AD363" s="364"/>
      <c r="AE363" s="364"/>
      <c r="AF363" s="364"/>
    </row>
    <row r="364" spans="2:32" ht="15" customHeight="1">
      <c r="B364" s="645"/>
      <c r="C364" s="645"/>
      <c r="D364" s="645"/>
      <c r="E364" s="645"/>
      <c r="F364" s="645"/>
      <c r="G364" s="645"/>
      <c r="H364" s="645"/>
      <c r="I364" s="645"/>
      <c r="J364" s="645"/>
      <c r="K364" s="645"/>
      <c r="L364" s="645"/>
      <c r="M364" s="645"/>
      <c r="N364" s="645"/>
      <c r="O364" s="645"/>
      <c r="P364" s="645"/>
      <c r="Q364" s="645"/>
      <c r="R364" s="645"/>
      <c r="S364" s="645"/>
      <c r="T364" s="645"/>
      <c r="U364" s="645"/>
      <c r="V364" s="645"/>
      <c r="W364" s="645"/>
      <c r="X364" s="645"/>
      <c r="Y364" s="645"/>
      <c r="Z364" s="645"/>
      <c r="AA364" s="645"/>
      <c r="AB364" s="645"/>
      <c r="AC364" s="645"/>
      <c r="AD364" s="645"/>
      <c r="AE364" s="645"/>
      <c r="AF364" s="645"/>
    </row>
    <row r="365" spans="2:32" ht="15" customHeight="1">
      <c r="B365" s="2051" t="s">
        <v>382</v>
      </c>
      <c r="C365" s="2045"/>
      <c r="D365" s="2045"/>
      <c r="E365" s="2045"/>
      <c r="F365" s="2045"/>
      <c r="G365" s="2045"/>
      <c r="H365" s="2045"/>
      <c r="I365" s="2045"/>
      <c r="J365" s="2045"/>
      <c r="K365" s="2045"/>
      <c r="L365" s="2045"/>
      <c r="M365" s="2045"/>
      <c r="N365" s="2045"/>
      <c r="O365" s="2045"/>
      <c r="P365" s="2046"/>
      <c r="Q365" s="578"/>
      <c r="R365" s="2051" t="s">
        <v>383</v>
      </c>
      <c r="S365" s="2045"/>
      <c r="T365" s="2045"/>
      <c r="U365" s="2045"/>
      <c r="V365" s="2045"/>
      <c r="W365" s="2045"/>
      <c r="X365" s="2045"/>
      <c r="Y365" s="2045"/>
      <c r="Z365" s="2045"/>
      <c r="AA365" s="2045"/>
      <c r="AB365" s="2045"/>
      <c r="AC365" s="2045"/>
      <c r="AD365" s="2045"/>
      <c r="AE365" s="2045"/>
      <c r="AF365" s="2046"/>
    </row>
    <row r="366" spans="2:32" ht="15" customHeight="1">
      <c r="B366" s="2052"/>
      <c r="C366" s="2047"/>
      <c r="D366" s="2047"/>
      <c r="E366" s="2047"/>
      <c r="F366" s="2047"/>
      <c r="G366" s="2047"/>
      <c r="H366" s="2047"/>
      <c r="I366" s="2047"/>
      <c r="J366" s="2047"/>
      <c r="K366" s="2047"/>
      <c r="L366" s="2047"/>
      <c r="M366" s="2047"/>
      <c r="N366" s="2047"/>
      <c r="O366" s="2047"/>
      <c r="P366" s="2048"/>
      <c r="Q366" s="578"/>
      <c r="R366" s="2052"/>
      <c r="S366" s="2047"/>
      <c r="T366" s="2047"/>
      <c r="U366" s="2047"/>
      <c r="V366" s="2047"/>
      <c r="W366" s="2047"/>
      <c r="X366" s="2047"/>
      <c r="Y366" s="2047"/>
      <c r="Z366" s="2047"/>
      <c r="AA366" s="2047"/>
      <c r="AB366" s="2047"/>
      <c r="AC366" s="2047"/>
      <c r="AD366" s="2047"/>
      <c r="AE366" s="2047"/>
      <c r="AF366" s="2048"/>
    </row>
    <row r="367" spans="2:32" ht="15" customHeight="1">
      <c r="B367" s="2052"/>
      <c r="C367" s="2047"/>
      <c r="D367" s="2047"/>
      <c r="E367" s="2047"/>
      <c r="F367" s="2047"/>
      <c r="G367" s="2047"/>
      <c r="H367" s="2047"/>
      <c r="I367" s="2047"/>
      <c r="J367" s="2047"/>
      <c r="K367" s="2047"/>
      <c r="L367" s="2047"/>
      <c r="M367" s="2047"/>
      <c r="N367" s="2047"/>
      <c r="O367" s="2047"/>
      <c r="P367" s="2048"/>
      <c r="Q367" s="578"/>
      <c r="R367" s="2052"/>
      <c r="S367" s="2047"/>
      <c r="T367" s="2047"/>
      <c r="U367" s="2047"/>
      <c r="V367" s="2047"/>
      <c r="W367" s="2047"/>
      <c r="X367" s="2047"/>
      <c r="Y367" s="2047"/>
      <c r="Z367" s="2047"/>
      <c r="AA367" s="2047"/>
      <c r="AB367" s="2047"/>
      <c r="AC367" s="2047"/>
      <c r="AD367" s="2047"/>
      <c r="AE367" s="2047"/>
      <c r="AF367" s="2048"/>
    </row>
    <row r="368" spans="2:32" ht="15" customHeight="1">
      <c r="B368" s="2052"/>
      <c r="C368" s="2047"/>
      <c r="D368" s="2047"/>
      <c r="E368" s="2047"/>
      <c r="F368" s="2047"/>
      <c r="G368" s="2047"/>
      <c r="H368" s="2047"/>
      <c r="I368" s="2047"/>
      <c r="J368" s="2047"/>
      <c r="K368" s="2047"/>
      <c r="L368" s="2047"/>
      <c r="M368" s="2047"/>
      <c r="N368" s="2047"/>
      <c r="O368" s="2047"/>
      <c r="P368" s="2048"/>
      <c r="Q368" s="578"/>
      <c r="R368" s="2052"/>
      <c r="S368" s="2047"/>
      <c r="T368" s="2047"/>
      <c r="U368" s="2047"/>
      <c r="V368" s="2047"/>
      <c r="W368" s="2047"/>
      <c r="X368" s="2047"/>
      <c r="Y368" s="2047"/>
      <c r="Z368" s="2047"/>
      <c r="AA368" s="2047"/>
      <c r="AB368" s="2047"/>
      <c r="AC368" s="2047"/>
      <c r="AD368" s="2047"/>
      <c r="AE368" s="2047"/>
      <c r="AF368" s="2048"/>
    </row>
    <row r="369" spans="2:32" ht="15" customHeight="1">
      <c r="B369" s="2052"/>
      <c r="C369" s="2047"/>
      <c r="D369" s="2047"/>
      <c r="E369" s="2047"/>
      <c r="F369" s="2047"/>
      <c r="G369" s="2047"/>
      <c r="H369" s="2047"/>
      <c r="I369" s="2047"/>
      <c r="J369" s="2047"/>
      <c r="K369" s="2047"/>
      <c r="L369" s="2047"/>
      <c r="M369" s="2047"/>
      <c r="N369" s="2047"/>
      <c r="O369" s="2047"/>
      <c r="P369" s="2048"/>
      <c r="Q369" s="578"/>
      <c r="R369" s="2052"/>
      <c r="S369" s="2047"/>
      <c r="T369" s="2047"/>
      <c r="U369" s="2047"/>
      <c r="V369" s="2047"/>
      <c r="W369" s="2047"/>
      <c r="X369" s="2047"/>
      <c r="Y369" s="2047"/>
      <c r="Z369" s="2047"/>
      <c r="AA369" s="2047"/>
      <c r="AB369" s="2047"/>
      <c r="AC369" s="2047"/>
      <c r="AD369" s="2047"/>
      <c r="AE369" s="2047"/>
      <c r="AF369" s="2048"/>
    </row>
    <row r="370" spans="2:32" ht="15" customHeight="1">
      <c r="B370" s="2052"/>
      <c r="C370" s="2047"/>
      <c r="D370" s="2047"/>
      <c r="E370" s="2047"/>
      <c r="F370" s="2047"/>
      <c r="G370" s="2047"/>
      <c r="H370" s="2047"/>
      <c r="I370" s="2047"/>
      <c r="J370" s="2047"/>
      <c r="K370" s="2047"/>
      <c r="L370" s="2047"/>
      <c r="M370" s="2047"/>
      <c r="N370" s="2047"/>
      <c r="O370" s="2047"/>
      <c r="P370" s="2048"/>
      <c r="Q370" s="578"/>
      <c r="R370" s="2052"/>
      <c r="S370" s="2047"/>
      <c r="T370" s="2047"/>
      <c r="U370" s="2047"/>
      <c r="V370" s="2047"/>
      <c r="W370" s="2047"/>
      <c r="X370" s="2047"/>
      <c r="Y370" s="2047"/>
      <c r="Z370" s="2047"/>
      <c r="AA370" s="2047"/>
      <c r="AB370" s="2047"/>
      <c r="AC370" s="2047"/>
      <c r="AD370" s="2047"/>
      <c r="AE370" s="2047"/>
      <c r="AF370" s="2048"/>
    </row>
    <row r="371" spans="2:32" ht="15" customHeight="1">
      <c r="B371" s="2052"/>
      <c r="C371" s="2047"/>
      <c r="D371" s="2047"/>
      <c r="E371" s="2047"/>
      <c r="F371" s="2047"/>
      <c r="G371" s="2047"/>
      <c r="H371" s="2047"/>
      <c r="I371" s="2047"/>
      <c r="J371" s="2047"/>
      <c r="K371" s="2047"/>
      <c r="L371" s="2047"/>
      <c r="M371" s="2047"/>
      <c r="N371" s="2047"/>
      <c r="O371" s="2047"/>
      <c r="P371" s="2048"/>
      <c r="Q371" s="578"/>
      <c r="R371" s="2052"/>
      <c r="S371" s="2047"/>
      <c r="T371" s="2047"/>
      <c r="U371" s="2047"/>
      <c r="V371" s="2047"/>
      <c r="W371" s="2047"/>
      <c r="X371" s="2047"/>
      <c r="Y371" s="2047"/>
      <c r="Z371" s="2047"/>
      <c r="AA371" s="2047"/>
      <c r="AB371" s="2047"/>
      <c r="AC371" s="2047"/>
      <c r="AD371" s="2047"/>
      <c r="AE371" s="2047"/>
      <c r="AF371" s="2048"/>
    </row>
    <row r="372" spans="2:32" ht="15" customHeight="1">
      <c r="B372" s="2052"/>
      <c r="C372" s="2047"/>
      <c r="D372" s="2047"/>
      <c r="E372" s="2047"/>
      <c r="F372" s="2047"/>
      <c r="G372" s="2047"/>
      <c r="H372" s="2047"/>
      <c r="I372" s="2047"/>
      <c r="J372" s="2047"/>
      <c r="K372" s="2047"/>
      <c r="L372" s="2047"/>
      <c r="M372" s="2047"/>
      <c r="N372" s="2047"/>
      <c r="O372" s="2047"/>
      <c r="P372" s="2048"/>
      <c r="Q372" s="578"/>
      <c r="R372" s="2052"/>
      <c r="S372" s="2047"/>
      <c r="T372" s="2047"/>
      <c r="U372" s="2047"/>
      <c r="V372" s="2047"/>
      <c r="W372" s="2047"/>
      <c r="X372" s="2047"/>
      <c r="Y372" s="2047"/>
      <c r="Z372" s="2047"/>
      <c r="AA372" s="2047"/>
      <c r="AB372" s="2047"/>
      <c r="AC372" s="2047"/>
      <c r="AD372" s="2047"/>
      <c r="AE372" s="2047"/>
      <c r="AF372" s="2048"/>
    </row>
    <row r="373" spans="2:32" ht="15" customHeight="1">
      <c r="B373" s="2052"/>
      <c r="C373" s="2047"/>
      <c r="D373" s="2047"/>
      <c r="E373" s="2047"/>
      <c r="F373" s="2047"/>
      <c r="G373" s="2047"/>
      <c r="H373" s="2047"/>
      <c r="I373" s="2047"/>
      <c r="J373" s="2047"/>
      <c r="K373" s="2047"/>
      <c r="L373" s="2047"/>
      <c r="M373" s="2047"/>
      <c r="N373" s="2047"/>
      <c r="O373" s="2047"/>
      <c r="P373" s="2048"/>
      <c r="Q373" s="578"/>
      <c r="R373" s="2052"/>
      <c r="S373" s="2047"/>
      <c r="T373" s="2047"/>
      <c r="U373" s="2047"/>
      <c r="V373" s="2047"/>
      <c r="W373" s="2047"/>
      <c r="X373" s="2047"/>
      <c r="Y373" s="2047"/>
      <c r="Z373" s="2047"/>
      <c r="AA373" s="2047"/>
      <c r="AB373" s="2047"/>
      <c r="AC373" s="2047"/>
      <c r="AD373" s="2047"/>
      <c r="AE373" s="2047"/>
      <c r="AF373" s="2048"/>
    </row>
    <row r="374" spans="2:32" ht="15" customHeight="1">
      <c r="B374" s="2052"/>
      <c r="C374" s="2047"/>
      <c r="D374" s="2047"/>
      <c r="E374" s="2047"/>
      <c r="F374" s="2047"/>
      <c r="G374" s="2047"/>
      <c r="H374" s="2047"/>
      <c r="I374" s="2047"/>
      <c r="J374" s="2047"/>
      <c r="K374" s="2047"/>
      <c r="L374" s="2047"/>
      <c r="M374" s="2047"/>
      <c r="N374" s="2047"/>
      <c r="O374" s="2047"/>
      <c r="P374" s="2048"/>
      <c r="Q374" s="578"/>
      <c r="R374" s="2052"/>
      <c r="S374" s="2047"/>
      <c r="T374" s="2047"/>
      <c r="U374" s="2047"/>
      <c r="V374" s="2047"/>
      <c r="W374" s="2047"/>
      <c r="X374" s="2047"/>
      <c r="Y374" s="2047"/>
      <c r="Z374" s="2047"/>
      <c r="AA374" s="2047"/>
      <c r="AB374" s="2047"/>
      <c r="AC374" s="2047"/>
      <c r="AD374" s="2047"/>
      <c r="AE374" s="2047"/>
      <c r="AF374" s="2048"/>
    </row>
    <row r="375" spans="2:32" ht="15" customHeight="1">
      <c r="B375" s="2052"/>
      <c r="C375" s="2047"/>
      <c r="D375" s="2047"/>
      <c r="E375" s="2047"/>
      <c r="F375" s="2047"/>
      <c r="G375" s="2047"/>
      <c r="H375" s="2047"/>
      <c r="I375" s="2047"/>
      <c r="J375" s="2047"/>
      <c r="K375" s="2047"/>
      <c r="L375" s="2047"/>
      <c r="M375" s="2047"/>
      <c r="N375" s="2047"/>
      <c r="O375" s="2047"/>
      <c r="P375" s="2048"/>
      <c r="Q375" s="578"/>
      <c r="R375" s="2052"/>
      <c r="S375" s="2047"/>
      <c r="T375" s="2047"/>
      <c r="U375" s="2047"/>
      <c r="V375" s="2047"/>
      <c r="W375" s="2047"/>
      <c r="X375" s="2047"/>
      <c r="Y375" s="2047"/>
      <c r="Z375" s="2047"/>
      <c r="AA375" s="2047"/>
      <c r="AB375" s="2047"/>
      <c r="AC375" s="2047"/>
      <c r="AD375" s="2047"/>
      <c r="AE375" s="2047"/>
      <c r="AF375" s="2048"/>
    </row>
    <row r="376" spans="2:32" ht="15" customHeight="1">
      <c r="B376" s="2053"/>
      <c r="C376" s="2049"/>
      <c r="D376" s="2049"/>
      <c r="E376" s="2049"/>
      <c r="F376" s="2049"/>
      <c r="G376" s="2049"/>
      <c r="H376" s="2049"/>
      <c r="I376" s="2049"/>
      <c r="J376" s="2049"/>
      <c r="K376" s="2049"/>
      <c r="L376" s="2049"/>
      <c r="M376" s="2049"/>
      <c r="N376" s="2049"/>
      <c r="O376" s="2049"/>
      <c r="P376" s="2050"/>
      <c r="Q376" s="578"/>
      <c r="R376" s="2053"/>
      <c r="S376" s="2049"/>
      <c r="T376" s="2049"/>
      <c r="U376" s="2049"/>
      <c r="V376" s="2049"/>
      <c r="W376" s="2049"/>
      <c r="X376" s="2049"/>
      <c r="Y376" s="2049"/>
      <c r="Z376" s="2049"/>
      <c r="AA376" s="2049"/>
      <c r="AB376" s="2049"/>
      <c r="AC376" s="2049"/>
      <c r="AD376" s="2049"/>
      <c r="AE376" s="2049"/>
      <c r="AF376" s="2050"/>
    </row>
    <row r="377" spans="2:32" ht="15" customHeight="1">
      <c r="B377" s="645"/>
      <c r="C377" s="645"/>
      <c r="D377" s="645"/>
      <c r="E377" s="645"/>
      <c r="F377" s="645"/>
      <c r="G377" s="645"/>
      <c r="H377" s="645"/>
      <c r="I377" s="645"/>
      <c r="J377" s="645"/>
      <c r="K377" s="645"/>
      <c r="L377" s="645"/>
      <c r="M377" s="645"/>
      <c r="N377" s="645"/>
      <c r="O377" s="645"/>
      <c r="P377" s="645"/>
      <c r="Q377" s="645"/>
      <c r="R377" s="645"/>
      <c r="S377" s="645"/>
      <c r="T377" s="645"/>
      <c r="U377" s="645"/>
      <c r="V377" s="645"/>
      <c r="W377" s="645"/>
      <c r="X377" s="645"/>
      <c r="Y377" s="645"/>
      <c r="Z377" s="645"/>
      <c r="AA377" s="645"/>
      <c r="AB377" s="645"/>
      <c r="AC377" s="645"/>
      <c r="AD377" s="645"/>
      <c r="AE377" s="645"/>
      <c r="AF377" s="645"/>
    </row>
    <row r="378" spans="2:32" ht="15" customHeight="1">
      <c r="B378" s="1989" t="s">
        <v>617</v>
      </c>
      <c r="C378" s="1990"/>
      <c r="D378" s="1990"/>
      <c r="E378" s="1990"/>
      <c r="F378" s="1990"/>
      <c r="G378" s="1990"/>
      <c r="H378" s="1990"/>
      <c r="I378" s="1990"/>
      <c r="J378" s="1990"/>
      <c r="K378" s="1990"/>
      <c r="L378" s="1990"/>
      <c r="M378" s="1990"/>
      <c r="N378" s="1990"/>
      <c r="O378" s="1990"/>
      <c r="P378" s="1991"/>
      <c r="Q378" s="580"/>
      <c r="R378" s="1989" t="s">
        <v>618</v>
      </c>
      <c r="S378" s="1990"/>
      <c r="T378" s="1990"/>
      <c r="U378" s="1990"/>
      <c r="V378" s="1990"/>
      <c r="W378" s="1990"/>
      <c r="X378" s="1990"/>
      <c r="Y378" s="1990"/>
      <c r="Z378" s="1990"/>
      <c r="AA378" s="1990"/>
      <c r="AB378" s="1990"/>
      <c r="AC378" s="1990"/>
      <c r="AD378" s="1990"/>
      <c r="AE378" s="1990"/>
      <c r="AF378" s="1991"/>
    </row>
    <row r="379" spans="2:32" ht="15" customHeight="1">
      <c r="B379" s="1992"/>
      <c r="C379" s="1993"/>
      <c r="D379" s="1993"/>
      <c r="E379" s="1993"/>
      <c r="F379" s="1993"/>
      <c r="G379" s="1993"/>
      <c r="H379" s="1993"/>
      <c r="I379" s="1993"/>
      <c r="J379" s="1993"/>
      <c r="K379" s="1993"/>
      <c r="L379" s="1993"/>
      <c r="M379" s="1993"/>
      <c r="N379" s="1993"/>
      <c r="O379" s="1993"/>
      <c r="P379" s="1994"/>
      <c r="Q379" s="580"/>
      <c r="R379" s="1992"/>
      <c r="S379" s="1993"/>
      <c r="T379" s="1993"/>
      <c r="U379" s="1993"/>
      <c r="V379" s="1993"/>
      <c r="W379" s="1993"/>
      <c r="X379" s="1993"/>
      <c r="Y379" s="1993"/>
      <c r="Z379" s="1993"/>
      <c r="AA379" s="1993"/>
      <c r="AB379" s="1993"/>
      <c r="AC379" s="1993"/>
      <c r="AD379" s="1993"/>
      <c r="AE379" s="1993"/>
      <c r="AF379" s="1994"/>
    </row>
    <row r="380" spans="2:32" ht="15" customHeight="1">
      <c r="B380" s="1995"/>
      <c r="C380" s="1996"/>
      <c r="D380" s="1996"/>
      <c r="E380" s="1996"/>
      <c r="F380" s="1996"/>
      <c r="G380" s="1996"/>
      <c r="H380" s="1996"/>
      <c r="I380" s="1996"/>
      <c r="J380" s="1996"/>
      <c r="K380" s="1996"/>
      <c r="L380" s="1996"/>
      <c r="M380" s="1996"/>
      <c r="N380" s="1996"/>
      <c r="O380" s="1996"/>
      <c r="P380" s="1997"/>
      <c r="Q380" s="579"/>
      <c r="R380" s="1995"/>
      <c r="S380" s="1996"/>
      <c r="T380" s="1996"/>
      <c r="U380" s="1996"/>
      <c r="V380" s="1996"/>
      <c r="W380" s="1996"/>
      <c r="X380" s="1996"/>
      <c r="Y380" s="1996"/>
      <c r="Z380" s="1996"/>
      <c r="AA380" s="1996"/>
      <c r="AB380" s="1996"/>
      <c r="AC380" s="1996"/>
      <c r="AD380" s="1996"/>
      <c r="AE380" s="1996"/>
      <c r="AF380" s="1997"/>
    </row>
    <row r="381" spans="2:32" ht="15" customHeight="1">
      <c r="B381" s="364"/>
      <c r="C381" s="364"/>
      <c r="D381" s="364"/>
      <c r="E381" s="364"/>
      <c r="F381" s="364"/>
      <c r="G381" s="364"/>
      <c r="H381" s="364"/>
      <c r="I381" s="364"/>
      <c r="J381" s="364"/>
      <c r="K381" s="364"/>
      <c r="L381" s="364"/>
      <c r="M381" s="364"/>
      <c r="N381" s="364"/>
      <c r="O381" s="364"/>
      <c r="P381" s="364"/>
      <c r="Q381" s="579"/>
      <c r="R381" s="364"/>
      <c r="S381" s="364"/>
      <c r="T381" s="364"/>
      <c r="U381" s="364"/>
      <c r="V381" s="364"/>
      <c r="W381" s="364"/>
      <c r="X381" s="364"/>
      <c r="Y381" s="364"/>
      <c r="Z381" s="364"/>
      <c r="AA381" s="364"/>
      <c r="AB381" s="364"/>
      <c r="AC381" s="364"/>
      <c r="AD381" s="364"/>
      <c r="AE381" s="364"/>
      <c r="AF381" s="364"/>
    </row>
    <row r="382" spans="2:32" ht="15" customHeight="1">
      <c r="B382" s="364"/>
      <c r="C382" s="364"/>
      <c r="D382" s="364"/>
      <c r="E382" s="364"/>
      <c r="F382" s="364"/>
      <c r="G382" s="364"/>
      <c r="H382" s="364"/>
      <c r="I382" s="364"/>
      <c r="J382" s="364"/>
      <c r="K382" s="364"/>
      <c r="L382" s="364"/>
      <c r="M382" s="364"/>
      <c r="N382" s="364"/>
      <c r="O382" s="364"/>
      <c r="P382" s="364"/>
      <c r="Q382" s="579"/>
      <c r="R382" s="364"/>
      <c r="S382" s="364"/>
      <c r="T382" s="364"/>
      <c r="U382" s="364"/>
      <c r="V382" s="364"/>
      <c r="W382" s="364"/>
      <c r="X382" s="364"/>
      <c r="Y382" s="364"/>
      <c r="Z382" s="364"/>
      <c r="AA382" s="364"/>
      <c r="AB382" s="364"/>
      <c r="AC382" s="364"/>
      <c r="AD382" s="364"/>
      <c r="AE382" s="364"/>
      <c r="AF382" s="364"/>
    </row>
    <row r="383" spans="2:32" ht="15" customHeight="1">
      <c r="B383" s="645"/>
      <c r="C383" s="645"/>
      <c r="D383" s="645"/>
      <c r="E383" s="645"/>
      <c r="F383" s="645"/>
      <c r="G383" s="645"/>
      <c r="H383" s="645"/>
      <c r="I383" s="645"/>
      <c r="J383" s="645"/>
      <c r="K383" s="645"/>
      <c r="L383" s="645"/>
      <c r="M383" s="645"/>
      <c r="N383" s="645"/>
      <c r="O383" s="645"/>
      <c r="P383" s="645"/>
      <c r="Q383" s="645"/>
      <c r="R383" s="645"/>
      <c r="S383" s="645"/>
      <c r="T383" s="645"/>
      <c r="U383" s="645"/>
      <c r="V383" s="645"/>
      <c r="W383" s="645"/>
      <c r="X383" s="645"/>
      <c r="Y383" s="645"/>
      <c r="Z383" s="645"/>
      <c r="AA383" s="645"/>
      <c r="AB383" s="645"/>
      <c r="AC383" s="645"/>
      <c r="AD383" s="645"/>
      <c r="AE383" s="645"/>
      <c r="AF383" s="645"/>
    </row>
    <row r="384" spans="2:32" ht="15" customHeight="1">
      <c r="B384" s="2051" t="s">
        <v>383</v>
      </c>
      <c r="C384" s="2045"/>
      <c r="D384" s="2045"/>
      <c r="E384" s="2045"/>
      <c r="F384" s="2045"/>
      <c r="G384" s="2045"/>
      <c r="H384" s="2045"/>
      <c r="I384" s="2045"/>
      <c r="J384" s="2045"/>
      <c r="K384" s="2045"/>
      <c r="L384" s="2045"/>
      <c r="M384" s="2045"/>
      <c r="N384" s="2045"/>
      <c r="O384" s="2045"/>
      <c r="P384" s="2046"/>
      <c r="Q384" s="578"/>
      <c r="R384" s="2051" t="s">
        <v>383</v>
      </c>
      <c r="S384" s="2045"/>
      <c r="T384" s="2045"/>
      <c r="U384" s="2045"/>
      <c r="V384" s="2045"/>
      <c r="W384" s="2045"/>
      <c r="X384" s="2045"/>
      <c r="Y384" s="2045"/>
      <c r="Z384" s="2045"/>
      <c r="AA384" s="2045"/>
      <c r="AB384" s="2045"/>
      <c r="AC384" s="2045"/>
      <c r="AD384" s="2045"/>
      <c r="AE384" s="2045"/>
      <c r="AF384" s="2046"/>
    </row>
    <row r="385" spans="2:32" ht="15" customHeight="1">
      <c r="B385" s="2052"/>
      <c r="C385" s="2047"/>
      <c r="D385" s="2047"/>
      <c r="E385" s="2047"/>
      <c r="F385" s="2047"/>
      <c r="G385" s="2047"/>
      <c r="H385" s="2047"/>
      <c r="I385" s="2047"/>
      <c r="J385" s="2047"/>
      <c r="K385" s="2047"/>
      <c r="L385" s="2047"/>
      <c r="M385" s="2047"/>
      <c r="N385" s="2047"/>
      <c r="O385" s="2047"/>
      <c r="P385" s="2048"/>
      <c r="Q385" s="578"/>
      <c r="R385" s="2052"/>
      <c r="S385" s="2047"/>
      <c r="T385" s="2047"/>
      <c r="U385" s="2047"/>
      <c r="V385" s="2047"/>
      <c r="W385" s="2047"/>
      <c r="X385" s="2047"/>
      <c r="Y385" s="2047"/>
      <c r="Z385" s="2047"/>
      <c r="AA385" s="2047"/>
      <c r="AB385" s="2047"/>
      <c r="AC385" s="2047"/>
      <c r="AD385" s="2047"/>
      <c r="AE385" s="2047"/>
      <c r="AF385" s="2048"/>
    </row>
    <row r="386" spans="2:32" ht="15" customHeight="1">
      <c r="B386" s="2052"/>
      <c r="C386" s="2047"/>
      <c r="D386" s="2047"/>
      <c r="E386" s="2047"/>
      <c r="F386" s="2047"/>
      <c r="G386" s="2047"/>
      <c r="H386" s="2047"/>
      <c r="I386" s="2047"/>
      <c r="J386" s="2047"/>
      <c r="K386" s="2047"/>
      <c r="L386" s="2047"/>
      <c r="M386" s="2047"/>
      <c r="N386" s="2047"/>
      <c r="O386" s="2047"/>
      <c r="P386" s="2048"/>
      <c r="Q386" s="578"/>
      <c r="R386" s="2052"/>
      <c r="S386" s="2047"/>
      <c r="T386" s="2047"/>
      <c r="U386" s="2047"/>
      <c r="V386" s="2047"/>
      <c r="W386" s="2047"/>
      <c r="X386" s="2047"/>
      <c r="Y386" s="2047"/>
      <c r="Z386" s="2047"/>
      <c r="AA386" s="2047"/>
      <c r="AB386" s="2047"/>
      <c r="AC386" s="2047"/>
      <c r="AD386" s="2047"/>
      <c r="AE386" s="2047"/>
      <c r="AF386" s="2048"/>
    </row>
    <row r="387" spans="2:32" ht="15" customHeight="1">
      <c r="B387" s="2052"/>
      <c r="C387" s="2047"/>
      <c r="D387" s="2047"/>
      <c r="E387" s="2047"/>
      <c r="F387" s="2047"/>
      <c r="G387" s="2047"/>
      <c r="H387" s="2047"/>
      <c r="I387" s="2047"/>
      <c r="J387" s="2047"/>
      <c r="K387" s="2047"/>
      <c r="L387" s="2047"/>
      <c r="M387" s="2047"/>
      <c r="N387" s="2047"/>
      <c r="O387" s="2047"/>
      <c r="P387" s="2048"/>
      <c r="Q387" s="578"/>
      <c r="R387" s="2052"/>
      <c r="S387" s="2047"/>
      <c r="T387" s="2047"/>
      <c r="U387" s="2047"/>
      <c r="V387" s="2047"/>
      <c r="W387" s="2047"/>
      <c r="X387" s="2047"/>
      <c r="Y387" s="2047"/>
      <c r="Z387" s="2047"/>
      <c r="AA387" s="2047"/>
      <c r="AB387" s="2047"/>
      <c r="AC387" s="2047"/>
      <c r="AD387" s="2047"/>
      <c r="AE387" s="2047"/>
      <c r="AF387" s="2048"/>
    </row>
    <row r="388" spans="2:32" ht="15" customHeight="1">
      <c r="B388" s="2052"/>
      <c r="C388" s="2047"/>
      <c r="D388" s="2047"/>
      <c r="E388" s="2047"/>
      <c r="F388" s="2047"/>
      <c r="G388" s="2047"/>
      <c r="H388" s="2047"/>
      <c r="I388" s="2047"/>
      <c r="J388" s="2047"/>
      <c r="K388" s="2047"/>
      <c r="L388" s="2047"/>
      <c r="M388" s="2047"/>
      <c r="N388" s="2047"/>
      <c r="O388" s="2047"/>
      <c r="P388" s="2048"/>
      <c r="Q388" s="578"/>
      <c r="R388" s="2052"/>
      <c r="S388" s="2047"/>
      <c r="T388" s="2047"/>
      <c r="U388" s="2047"/>
      <c r="V388" s="2047"/>
      <c r="W388" s="2047"/>
      <c r="X388" s="2047"/>
      <c r="Y388" s="2047"/>
      <c r="Z388" s="2047"/>
      <c r="AA388" s="2047"/>
      <c r="AB388" s="2047"/>
      <c r="AC388" s="2047"/>
      <c r="AD388" s="2047"/>
      <c r="AE388" s="2047"/>
      <c r="AF388" s="2048"/>
    </row>
    <row r="389" spans="2:32" ht="15" customHeight="1">
      <c r="B389" s="2052"/>
      <c r="C389" s="2047"/>
      <c r="D389" s="2047"/>
      <c r="E389" s="2047"/>
      <c r="F389" s="2047"/>
      <c r="G389" s="2047"/>
      <c r="H389" s="2047"/>
      <c r="I389" s="2047"/>
      <c r="J389" s="2047"/>
      <c r="K389" s="2047"/>
      <c r="L389" s="2047"/>
      <c r="M389" s="2047"/>
      <c r="N389" s="2047"/>
      <c r="O389" s="2047"/>
      <c r="P389" s="2048"/>
      <c r="Q389" s="578"/>
      <c r="R389" s="2052"/>
      <c r="S389" s="2047"/>
      <c r="T389" s="2047"/>
      <c r="U389" s="2047"/>
      <c r="V389" s="2047"/>
      <c r="W389" s="2047"/>
      <c r="X389" s="2047"/>
      <c r="Y389" s="2047"/>
      <c r="Z389" s="2047"/>
      <c r="AA389" s="2047"/>
      <c r="AB389" s="2047"/>
      <c r="AC389" s="2047"/>
      <c r="AD389" s="2047"/>
      <c r="AE389" s="2047"/>
      <c r="AF389" s="2048"/>
    </row>
    <row r="390" spans="2:32" ht="15" customHeight="1">
      <c r="B390" s="2052"/>
      <c r="C390" s="2047"/>
      <c r="D390" s="2047"/>
      <c r="E390" s="2047"/>
      <c r="F390" s="2047"/>
      <c r="G390" s="2047"/>
      <c r="H390" s="2047"/>
      <c r="I390" s="2047"/>
      <c r="J390" s="2047"/>
      <c r="K390" s="2047"/>
      <c r="L390" s="2047"/>
      <c r="M390" s="2047"/>
      <c r="N390" s="2047"/>
      <c r="O390" s="2047"/>
      <c r="P390" s="2048"/>
      <c r="Q390" s="578"/>
      <c r="R390" s="2052"/>
      <c r="S390" s="2047"/>
      <c r="T390" s="2047"/>
      <c r="U390" s="2047"/>
      <c r="V390" s="2047"/>
      <c r="W390" s="2047"/>
      <c r="X390" s="2047"/>
      <c r="Y390" s="2047"/>
      <c r="Z390" s="2047"/>
      <c r="AA390" s="2047"/>
      <c r="AB390" s="2047"/>
      <c r="AC390" s="2047"/>
      <c r="AD390" s="2047"/>
      <c r="AE390" s="2047"/>
      <c r="AF390" s="2048"/>
    </row>
    <row r="391" spans="2:32" ht="15" customHeight="1">
      <c r="B391" s="2052"/>
      <c r="C391" s="2047"/>
      <c r="D391" s="2047"/>
      <c r="E391" s="2047"/>
      <c r="F391" s="2047"/>
      <c r="G391" s="2047"/>
      <c r="H391" s="2047"/>
      <c r="I391" s="2047"/>
      <c r="J391" s="2047"/>
      <c r="K391" s="2047"/>
      <c r="L391" s="2047"/>
      <c r="M391" s="2047"/>
      <c r="N391" s="2047"/>
      <c r="O391" s="2047"/>
      <c r="P391" s="2048"/>
      <c r="Q391" s="578"/>
      <c r="R391" s="2052"/>
      <c r="S391" s="2047"/>
      <c r="T391" s="2047"/>
      <c r="U391" s="2047"/>
      <c r="V391" s="2047"/>
      <c r="W391" s="2047"/>
      <c r="X391" s="2047"/>
      <c r="Y391" s="2047"/>
      <c r="Z391" s="2047"/>
      <c r="AA391" s="2047"/>
      <c r="AB391" s="2047"/>
      <c r="AC391" s="2047"/>
      <c r="AD391" s="2047"/>
      <c r="AE391" s="2047"/>
      <c r="AF391" s="2048"/>
    </row>
    <row r="392" spans="2:32" ht="15" customHeight="1">
      <c r="B392" s="2052"/>
      <c r="C392" s="2047"/>
      <c r="D392" s="2047"/>
      <c r="E392" s="2047"/>
      <c r="F392" s="2047"/>
      <c r="G392" s="2047"/>
      <c r="H392" s="2047"/>
      <c r="I392" s="2047"/>
      <c r="J392" s="2047"/>
      <c r="K392" s="2047"/>
      <c r="L392" s="2047"/>
      <c r="M392" s="2047"/>
      <c r="N392" s="2047"/>
      <c r="O392" s="2047"/>
      <c r="P392" s="2048"/>
      <c r="Q392" s="578"/>
      <c r="R392" s="2052"/>
      <c r="S392" s="2047"/>
      <c r="T392" s="2047"/>
      <c r="U392" s="2047"/>
      <c r="V392" s="2047"/>
      <c r="W392" s="2047"/>
      <c r="X392" s="2047"/>
      <c r="Y392" s="2047"/>
      <c r="Z392" s="2047"/>
      <c r="AA392" s="2047"/>
      <c r="AB392" s="2047"/>
      <c r="AC392" s="2047"/>
      <c r="AD392" s="2047"/>
      <c r="AE392" s="2047"/>
      <c r="AF392" s="2048"/>
    </row>
    <row r="393" spans="2:32" ht="15" customHeight="1">
      <c r="B393" s="2052"/>
      <c r="C393" s="2047"/>
      <c r="D393" s="2047"/>
      <c r="E393" s="2047"/>
      <c r="F393" s="2047"/>
      <c r="G393" s="2047"/>
      <c r="H393" s="2047"/>
      <c r="I393" s="2047"/>
      <c r="J393" s="2047"/>
      <c r="K393" s="2047"/>
      <c r="L393" s="2047"/>
      <c r="M393" s="2047"/>
      <c r="N393" s="2047"/>
      <c r="O393" s="2047"/>
      <c r="P393" s="2048"/>
      <c r="Q393" s="578"/>
      <c r="R393" s="2052"/>
      <c r="S393" s="2047"/>
      <c r="T393" s="2047"/>
      <c r="U393" s="2047"/>
      <c r="V393" s="2047"/>
      <c r="W393" s="2047"/>
      <c r="X393" s="2047"/>
      <c r="Y393" s="2047"/>
      <c r="Z393" s="2047"/>
      <c r="AA393" s="2047"/>
      <c r="AB393" s="2047"/>
      <c r="AC393" s="2047"/>
      <c r="AD393" s="2047"/>
      <c r="AE393" s="2047"/>
      <c r="AF393" s="2048"/>
    </row>
    <row r="394" spans="2:32" ht="15" customHeight="1">
      <c r="B394" s="2052"/>
      <c r="C394" s="2047"/>
      <c r="D394" s="2047"/>
      <c r="E394" s="2047"/>
      <c r="F394" s="2047"/>
      <c r="G394" s="2047"/>
      <c r="H394" s="2047"/>
      <c r="I394" s="2047"/>
      <c r="J394" s="2047"/>
      <c r="K394" s="2047"/>
      <c r="L394" s="2047"/>
      <c r="M394" s="2047"/>
      <c r="N394" s="2047"/>
      <c r="O394" s="2047"/>
      <c r="P394" s="2048"/>
      <c r="Q394" s="578"/>
      <c r="R394" s="2052"/>
      <c r="S394" s="2047"/>
      <c r="T394" s="2047"/>
      <c r="U394" s="2047"/>
      <c r="V394" s="2047"/>
      <c r="W394" s="2047"/>
      <c r="X394" s="2047"/>
      <c r="Y394" s="2047"/>
      <c r="Z394" s="2047"/>
      <c r="AA394" s="2047"/>
      <c r="AB394" s="2047"/>
      <c r="AC394" s="2047"/>
      <c r="AD394" s="2047"/>
      <c r="AE394" s="2047"/>
      <c r="AF394" s="2048"/>
    </row>
    <row r="395" spans="2:32" ht="15" customHeight="1">
      <c r="B395" s="2053"/>
      <c r="C395" s="2049"/>
      <c r="D395" s="2049"/>
      <c r="E395" s="2049"/>
      <c r="F395" s="2049"/>
      <c r="G395" s="2049"/>
      <c r="H395" s="2049"/>
      <c r="I395" s="2049"/>
      <c r="J395" s="2049"/>
      <c r="K395" s="2049"/>
      <c r="L395" s="2049"/>
      <c r="M395" s="2049"/>
      <c r="N395" s="2049"/>
      <c r="O395" s="2049"/>
      <c r="P395" s="2050"/>
      <c r="Q395" s="578"/>
      <c r="R395" s="2053"/>
      <c r="S395" s="2049"/>
      <c r="T395" s="2049"/>
      <c r="U395" s="2049"/>
      <c r="V395" s="2049"/>
      <c r="W395" s="2049"/>
      <c r="X395" s="2049"/>
      <c r="Y395" s="2049"/>
      <c r="Z395" s="2049"/>
      <c r="AA395" s="2049"/>
      <c r="AB395" s="2049"/>
      <c r="AC395" s="2049"/>
      <c r="AD395" s="2049"/>
      <c r="AE395" s="2049"/>
      <c r="AF395" s="2050"/>
    </row>
    <row r="396" spans="2:32" ht="15" customHeight="1">
      <c r="B396" s="645"/>
      <c r="C396" s="645"/>
      <c r="D396" s="645"/>
      <c r="E396" s="645"/>
      <c r="F396" s="645"/>
      <c r="G396" s="645"/>
      <c r="H396" s="645"/>
      <c r="I396" s="645"/>
      <c r="J396" s="645"/>
      <c r="K396" s="645"/>
      <c r="L396" s="645"/>
      <c r="M396" s="645"/>
      <c r="N396" s="645"/>
      <c r="O396" s="645"/>
      <c r="P396" s="645"/>
      <c r="Q396" s="645"/>
      <c r="R396" s="645"/>
      <c r="S396" s="645"/>
      <c r="T396" s="645"/>
      <c r="U396" s="645"/>
      <c r="V396" s="645"/>
      <c r="W396" s="645"/>
      <c r="X396" s="645"/>
      <c r="Y396" s="645"/>
      <c r="Z396" s="645"/>
      <c r="AA396" s="645"/>
      <c r="AB396" s="645"/>
      <c r="AC396" s="645"/>
      <c r="AD396" s="645"/>
      <c r="AE396" s="645"/>
      <c r="AF396" s="645"/>
    </row>
    <row r="397" spans="2:32" ht="15" customHeight="1">
      <c r="B397" s="2261" t="s">
        <v>619</v>
      </c>
      <c r="C397" s="2262"/>
      <c r="D397" s="2262"/>
      <c r="E397" s="2262"/>
      <c r="F397" s="2262"/>
      <c r="G397" s="2262"/>
      <c r="H397" s="2262"/>
      <c r="I397" s="2262"/>
      <c r="J397" s="2262"/>
      <c r="K397" s="2262"/>
      <c r="L397" s="2262"/>
      <c r="M397" s="2262"/>
      <c r="N397" s="2262"/>
      <c r="O397" s="2262"/>
      <c r="P397" s="2263"/>
      <c r="Q397" s="580"/>
      <c r="R397" s="2261" t="s">
        <v>619</v>
      </c>
      <c r="S397" s="2262"/>
      <c r="T397" s="2262"/>
      <c r="U397" s="2262"/>
      <c r="V397" s="2262"/>
      <c r="W397" s="2262"/>
      <c r="X397" s="2262"/>
      <c r="Y397" s="2262"/>
      <c r="Z397" s="2262"/>
      <c r="AA397" s="2262"/>
      <c r="AB397" s="2262"/>
      <c r="AC397" s="2262"/>
      <c r="AD397" s="2262"/>
      <c r="AE397" s="2262"/>
      <c r="AF397" s="2263"/>
    </row>
    <row r="398" spans="2:32" ht="15" customHeight="1">
      <c r="B398" s="2264"/>
      <c r="C398" s="2265"/>
      <c r="D398" s="2265"/>
      <c r="E398" s="2265"/>
      <c r="F398" s="2265"/>
      <c r="G398" s="2265"/>
      <c r="H398" s="2265"/>
      <c r="I398" s="2265"/>
      <c r="J398" s="2265"/>
      <c r="K398" s="2265"/>
      <c r="L398" s="2265"/>
      <c r="M398" s="2265"/>
      <c r="N398" s="2265"/>
      <c r="O398" s="2265"/>
      <c r="P398" s="2266"/>
      <c r="Q398" s="580"/>
      <c r="R398" s="2264"/>
      <c r="S398" s="2265"/>
      <c r="T398" s="2265"/>
      <c r="U398" s="2265"/>
      <c r="V398" s="2265"/>
      <c r="W398" s="2265"/>
      <c r="X398" s="2265"/>
      <c r="Y398" s="2265"/>
      <c r="Z398" s="2265"/>
      <c r="AA398" s="2265"/>
      <c r="AB398" s="2265"/>
      <c r="AC398" s="2265"/>
      <c r="AD398" s="2265"/>
      <c r="AE398" s="2265"/>
      <c r="AF398" s="2266"/>
    </row>
    <row r="399" spans="2:32" ht="15" customHeight="1">
      <c r="B399" s="2267"/>
      <c r="C399" s="2268"/>
      <c r="D399" s="2268"/>
      <c r="E399" s="2268"/>
      <c r="F399" s="2268"/>
      <c r="G399" s="2268"/>
      <c r="H399" s="2268"/>
      <c r="I399" s="2268"/>
      <c r="J399" s="2268"/>
      <c r="K399" s="2268"/>
      <c r="L399" s="2268"/>
      <c r="M399" s="2268"/>
      <c r="N399" s="2268"/>
      <c r="O399" s="2268"/>
      <c r="P399" s="2269"/>
      <c r="Q399" s="579"/>
      <c r="R399" s="2267"/>
      <c r="S399" s="2268"/>
      <c r="T399" s="2268"/>
      <c r="U399" s="2268"/>
      <c r="V399" s="2268"/>
      <c r="W399" s="2268"/>
      <c r="X399" s="2268"/>
      <c r="Y399" s="2268"/>
      <c r="Z399" s="2268"/>
      <c r="AA399" s="2268"/>
      <c r="AB399" s="2268"/>
      <c r="AC399" s="2268"/>
      <c r="AD399" s="2268"/>
      <c r="AE399" s="2268"/>
      <c r="AF399" s="2269"/>
    </row>
    <row r="400" spans="2:32" ht="15" customHeight="1">
      <c r="B400" s="364"/>
      <c r="C400" s="364"/>
      <c r="D400" s="364"/>
      <c r="E400" s="364"/>
      <c r="F400" s="364"/>
      <c r="G400" s="364"/>
      <c r="H400" s="364"/>
      <c r="I400" s="364"/>
      <c r="J400" s="364"/>
      <c r="K400" s="364"/>
      <c r="L400" s="364"/>
      <c r="M400" s="364"/>
      <c r="N400" s="364"/>
      <c r="O400" s="364"/>
      <c r="P400" s="364"/>
      <c r="Q400" s="579"/>
      <c r="R400" s="364"/>
      <c r="S400" s="364"/>
      <c r="T400" s="364"/>
      <c r="U400" s="364"/>
      <c r="V400" s="364"/>
      <c r="W400" s="364"/>
      <c r="X400" s="364"/>
      <c r="Y400" s="364"/>
      <c r="Z400" s="364"/>
      <c r="AA400" s="364"/>
      <c r="AB400" s="364"/>
      <c r="AC400" s="364"/>
      <c r="AD400" s="364"/>
      <c r="AE400" s="364"/>
      <c r="AF400" s="364"/>
    </row>
    <row r="401" spans="2:67" ht="15" customHeight="1">
      <c r="B401" s="364"/>
      <c r="C401" s="364"/>
      <c r="D401" s="364"/>
      <c r="E401" s="364"/>
      <c r="F401" s="364"/>
      <c r="G401" s="364"/>
      <c r="H401" s="364"/>
      <c r="I401" s="364"/>
      <c r="J401" s="364"/>
      <c r="K401" s="364"/>
      <c r="L401" s="364"/>
      <c r="M401" s="364"/>
      <c r="N401" s="364"/>
      <c r="O401" s="364"/>
      <c r="P401" s="364"/>
      <c r="Q401" s="579"/>
      <c r="R401" s="364"/>
      <c r="S401" s="364"/>
      <c r="T401" s="364"/>
      <c r="U401" s="364"/>
      <c r="V401" s="364"/>
      <c r="W401" s="364"/>
      <c r="X401" s="364"/>
      <c r="Y401" s="364"/>
      <c r="Z401" s="364"/>
      <c r="AA401" s="364"/>
      <c r="AB401" s="364"/>
      <c r="AC401" s="364"/>
      <c r="AD401" s="364"/>
      <c r="AE401" s="364"/>
      <c r="AF401" s="364"/>
    </row>
    <row r="402" spans="2:67" ht="15" customHeight="1" thickBot="1">
      <c r="B402" s="645"/>
      <c r="C402" s="645"/>
      <c r="D402" s="645"/>
      <c r="E402" s="645"/>
      <c r="F402" s="645"/>
      <c r="G402" s="645"/>
      <c r="H402" s="645"/>
      <c r="I402" s="645"/>
      <c r="J402" s="645"/>
      <c r="K402" s="645"/>
      <c r="L402" s="645"/>
      <c r="M402" s="645"/>
      <c r="N402" s="645"/>
      <c r="O402" s="645"/>
      <c r="P402" s="645"/>
      <c r="Q402" s="645"/>
      <c r="R402" s="645"/>
      <c r="S402" s="645"/>
      <c r="T402" s="645"/>
      <c r="U402" s="645"/>
      <c r="V402" s="645"/>
      <c r="W402" s="645"/>
      <c r="X402" s="645"/>
      <c r="Y402" s="645"/>
      <c r="Z402" s="645"/>
      <c r="AA402" s="645"/>
      <c r="AB402" s="645"/>
      <c r="AC402" s="581"/>
      <c r="AD402" s="645"/>
      <c r="AE402" s="645"/>
      <c r="AF402" s="645"/>
    </row>
    <row r="403" spans="2:67" s="3" customFormat="1" ht="24.95" customHeight="1" thickTop="1">
      <c r="B403" s="1998" t="str">
        <f>$B$76</f>
        <v>Execução das Obras de Macrodrenagem das Ruas Ceciliano Abel de Almeida e Lourenço Sales</v>
      </c>
      <c r="C403" s="1998"/>
      <c r="D403" s="1998"/>
      <c r="E403" s="1998"/>
      <c r="F403" s="1998"/>
      <c r="G403" s="1998"/>
      <c r="H403" s="1998"/>
      <c r="I403" s="1998"/>
      <c r="J403" s="1998"/>
      <c r="K403" s="1998"/>
      <c r="L403" s="1998"/>
      <c r="M403" s="1998"/>
      <c r="N403" s="1998"/>
      <c r="O403" s="1998"/>
      <c r="P403" s="1998"/>
      <c r="Q403" s="1998"/>
      <c r="R403" s="1998"/>
      <c r="S403" s="1998"/>
      <c r="T403" s="1998"/>
      <c r="U403" s="1998"/>
      <c r="V403" s="1998"/>
      <c r="W403" s="1998"/>
      <c r="X403" s="1998"/>
      <c r="Y403" s="1998"/>
      <c r="Z403" s="1998"/>
      <c r="AA403" s="1998"/>
      <c r="AB403" s="1998"/>
      <c r="AC403" s="1998"/>
      <c r="AD403" s="1998"/>
      <c r="AE403" s="1998"/>
      <c r="AF403" s="1998"/>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row>
    <row r="404" spans="2:67" s="349" customFormat="1" ht="20.100000000000001" customHeight="1" thickBot="1">
      <c r="B404" s="2078" t="str">
        <f>$B$1</f>
        <v>Consolidação de Elementos de Medição e Supervisão das Condições Trabalhistas</v>
      </c>
      <c r="C404" s="2078"/>
      <c r="D404" s="2078"/>
      <c r="E404" s="2078"/>
      <c r="F404" s="2078"/>
      <c r="G404" s="2078"/>
      <c r="H404" s="2078"/>
      <c r="I404" s="2078"/>
      <c r="J404" s="2078"/>
      <c r="K404" s="2078"/>
      <c r="L404" s="2078"/>
      <c r="M404" s="2078"/>
      <c r="N404" s="2078"/>
      <c r="O404" s="2078"/>
      <c r="P404" s="2078"/>
      <c r="Q404" s="2078"/>
      <c r="R404" s="2078"/>
      <c r="S404" s="2078"/>
      <c r="T404" s="2078"/>
      <c r="U404" s="2078"/>
      <c r="V404" s="2078"/>
      <c r="W404" s="2078"/>
      <c r="X404" s="2078"/>
      <c r="Y404" s="368"/>
      <c r="Z404" s="2079" t="str">
        <f>$AA$1</f>
        <v>CMRF 03/5222-08</v>
      </c>
      <c r="AA404" s="2079"/>
      <c r="AB404" s="2079"/>
      <c r="AC404" s="2079"/>
      <c r="AD404" s="2079"/>
      <c r="AE404" s="2079"/>
      <c r="AF404" s="2079"/>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row>
    <row r="405" spans="2:67" ht="15" customHeight="1" thickTop="1">
      <c r="B405" s="645"/>
      <c r="C405" s="645"/>
      <c r="D405" s="645"/>
      <c r="E405" s="645"/>
      <c r="F405" s="645"/>
      <c r="G405" s="645"/>
      <c r="H405" s="645"/>
      <c r="I405" s="645"/>
      <c r="J405" s="645"/>
      <c r="K405" s="645"/>
      <c r="L405" s="645"/>
      <c r="M405" s="645"/>
      <c r="N405" s="645"/>
      <c r="O405" s="645"/>
      <c r="P405" s="645"/>
      <c r="Q405" s="645"/>
      <c r="R405" s="645"/>
      <c r="S405" s="645"/>
      <c r="T405" s="645"/>
      <c r="U405" s="645"/>
      <c r="V405" s="645"/>
      <c r="W405" s="645"/>
      <c r="X405" s="645"/>
      <c r="Y405" s="645"/>
      <c r="Z405" s="645"/>
      <c r="AA405" s="645"/>
      <c r="AB405" s="645"/>
      <c r="AC405" s="645"/>
      <c r="AD405" s="645"/>
      <c r="AE405" s="645"/>
      <c r="AF405" s="645"/>
    </row>
    <row r="406" spans="2:67" ht="15" customHeight="1">
      <c r="B406" s="2060" t="s">
        <v>533</v>
      </c>
      <c r="C406" s="2060"/>
      <c r="D406" s="2060"/>
      <c r="E406" s="2060"/>
      <c r="F406" s="2060"/>
      <c r="G406" s="2060"/>
      <c r="H406" s="2060"/>
      <c r="I406" s="2060"/>
      <c r="J406" s="2060"/>
      <c r="K406" s="2060"/>
      <c r="L406" s="2060"/>
      <c r="M406" s="2060"/>
      <c r="N406" s="2060"/>
      <c r="O406" s="2060"/>
      <c r="P406" s="2060"/>
      <c r="Q406" s="2060"/>
      <c r="R406" s="2060"/>
      <c r="S406" s="2060"/>
      <c r="T406" s="2060"/>
      <c r="U406" s="2060"/>
      <c r="V406" s="2060"/>
      <c r="W406" s="2060"/>
      <c r="X406" s="2060"/>
      <c r="Y406" s="2060"/>
      <c r="Z406" s="2060"/>
      <c r="AA406" s="2060"/>
      <c r="AB406" s="2060"/>
      <c r="AC406" s="2060"/>
      <c r="AD406" s="2060"/>
      <c r="AE406" s="2060"/>
      <c r="AF406" s="2060"/>
    </row>
    <row r="407" spans="2:67" ht="15" customHeight="1">
      <c r="B407" s="2061"/>
      <c r="C407" s="2061"/>
      <c r="D407" s="2061"/>
      <c r="E407" s="2061"/>
      <c r="F407" s="2061"/>
      <c r="G407" s="2061"/>
      <c r="H407" s="2061"/>
      <c r="I407" s="2061"/>
      <c r="J407" s="2061"/>
      <c r="K407" s="2061"/>
      <c r="L407" s="2061"/>
      <c r="M407" s="2061"/>
      <c r="N407" s="2061"/>
      <c r="O407" s="2061"/>
      <c r="P407" s="2061"/>
      <c r="Q407" s="2061"/>
      <c r="R407" s="2061"/>
      <c r="S407" s="2061"/>
      <c r="T407" s="2061"/>
      <c r="U407" s="2061"/>
      <c r="V407" s="2061"/>
      <c r="W407" s="2061"/>
      <c r="X407" s="2061"/>
      <c r="Y407" s="2061"/>
      <c r="Z407" s="2061"/>
      <c r="AA407" s="2061"/>
      <c r="AB407" s="2061"/>
      <c r="AC407" s="2061"/>
      <c r="AD407" s="2061"/>
      <c r="AE407" s="2061"/>
      <c r="AF407" s="2061"/>
    </row>
    <row r="408" spans="2:67" ht="15" customHeight="1">
      <c r="B408" s="365"/>
      <c r="C408" s="365"/>
      <c r="D408" s="365"/>
      <c r="E408" s="365"/>
      <c r="F408" s="365"/>
      <c r="G408" s="365"/>
      <c r="H408" s="365"/>
      <c r="I408" s="365"/>
      <c r="J408" s="365"/>
      <c r="K408" s="365"/>
      <c r="L408" s="365"/>
      <c r="M408" s="365"/>
      <c r="N408" s="365"/>
      <c r="O408" s="365"/>
      <c r="P408" s="365"/>
      <c r="Q408" s="365"/>
      <c r="R408" s="365"/>
      <c r="S408" s="365"/>
      <c r="T408" s="365"/>
      <c r="U408" s="365"/>
      <c r="V408" s="365"/>
      <c r="W408" s="365"/>
      <c r="X408" s="365"/>
      <c r="Y408" s="365"/>
      <c r="Z408" s="365"/>
      <c r="AA408" s="365"/>
      <c r="AB408" s="365"/>
      <c r="AC408" s="365"/>
      <c r="AD408" s="365"/>
      <c r="AE408" s="365"/>
      <c r="AF408" s="365"/>
    </row>
    <row r="409" spans="2:67" ht="15" customHeight="1">
      <c r="B409" s="365"/>
      <c r="C409" s="365"/>
      <c r="D409" s="2260" t="s">
        <v>589</v>
      </c>
      <c r="E409" s="2260"/>
      <c r="F409" s="2260"/>
      <c r="G409" s="2260"/>
      <c r="H409" s="2260"/>
      <c r="I409" s="2260"/>
      <c r="J409" s="2260"/>
      <c r="K409" s="2260"/>
      <c r="L409" s="2260"/>
      <c r="M409" s="2260"/>
      <c r="N409" s="2260"/>
      <c r="O409" s="2260"/>
      <c r="P409" s="2260"/>
      <c r="Q409" s="2260"/>
      <c r="R409" s="2260"/>
      <c r="S409" s="2260"/>
      <c r="T409" s="2260"/>
      <c r="U409" s="2260"/>
      <c r="V409" s="2260"/>
      <c r="W409" s="2260"/>
      <c r="X409" s="2260"/>
      <c r="Y409" s="2260"/>
      <c r="Z409" s="2260"/>
      <c r="AA409" s="2260"/>
      <c r="AB409" s="2260"/>
      <c r="AC409" s="2260"/>
      <c r="AD409" s="2260"/>
      <c r="AE409" s="365"/>
      <c r="AF409" s="365"/>
    </row>
    <row r="410" spans="2:67" ht="15" customHeight="1">
      <c r="B410" s="365"/>
      <c r="C410" s="365"/>
      <c r="D410" s="365"/>
      <c r="E410" s="365"/>
      <c r="F410" s="365"/>
      <c r="G410" s="365"/>
      <c r="H410" s="365"/>
      <c r="I410" s="365"/>
      <c r="J410" s="365"/>
      <c r="K410" s="365"/>
      <c r="L410" s="365"/>
      <c r="M410" s="365"/>
      <c r="N410" s="365"/>
      <c r="O410" s="365"/>
      <c r="P410" s="365"/>
      <c r="Q410" s="365"/>
      <c r="R410" s="365"/>
      <c r="S410" s="365"/>
      <c r="T410" s="365"/>
      <c r="U410" s="365"/>
      <c r="V410" s="365"/>
      <c r="W410" s="365"/>
      <c r="X410" s="365"/>
      <c r="Y410" s="365"/>
      <c r="Z410" s="365"/>
      <c r="AA410" s="365"/>
      <c r="AB410" s="365"/>
      <c r="AC410" s="365"/>
      <c r="AD410" s="365"/>
      <c r="AE410" s="365"/>
      <c r="AF410" s="365"/>
    </row>
    <row r="411" spans="2:67" ht="15" customHeight="1">
      <c r="B411" s="645"/>
      <c r="C411" s="645"/>
      <c r="D411" s="645"/>
      <c r="E411" s="645"/>
      <c r="F411" s="645"/>
      <c r="G411" s="645"/>
      <c r="H411" s="645"/>
      <c r="I411" s="645"/>
      <c r="J411" s="645"/>
      <c r="K411" s="645"/>
      <c r="L411" s="645"/>
      <c r="M411" s="645"/>
      <c r="N411" s="645"/>
      <c r="O411" s="645"/>
      <c r="P411" s="645"/>
      <c r="Q411" s="645"/>
      <c r="R411" s="645"/>
      <c r="S411" s="645"/>
      <c r="T411" s="645"/>
      <c r="U411" s="645"/>
      <c r="V411" s="645"/>
      <c r="W411" s="645"/>
      <c r="X411" s="645"/>
      <c r="Y411" s="645"/>
      <c r="Z411" s="645"/>
      <c r="AA411" s="645"/>
      <c r="AB411" s="645"/>
      <c r="AC411" s="645"/>
      <c r="AD411" s="645"/>
      <c r="AE411" s="645"/>
      <c r="AF411" s="645"/>
    </row>
    <row r="412" spans="2:67" ht="15" customHeight="1">
      <c r="B412" s="2051"/>
      <c r="C412" s="2045"/>
      <c r="D412" s="2045"/>
      <c r="E412" s="2045"/>
      <c r="F412" s="2045"/>
      <c r="G412" s="2045"/>
      <c r="H412" s="2045"/>
      <c r="I412" s="2045"/>
      <c r="J412" s="2045"/>
      <c r="K412" s="2045"/>
      <c r="L412" s="2045"/>
      <c r="M412" s="2045"/>
      <c r="N412" s="2045"/>
      <c r="O412" s="2045"/>
      <c r="P412" s="2046"/>
      <c r="Q412" s="578"/>
      <c r="R412" s="2051"/>
      <c r="S412" s="2045"/>
      <c r="T412" s="2045"/>
      <c r="U412" s="2045"/>
      <c r="V412" s="2045"/>
      <c r="W412" s="2045"/>
      <c r="X412" s="2045"/>
      <c r="Y412" s="2045"/>
      <c r="Z412" s="2045"/>
      <c r="AA412" s="2045"/>
      <c r="AB412" s="2045"/>
      <c r="AC412" s="2045"/>
      <c r="AD412" s="2045"/>
      <c r="AE412" s="2045"/>
      <c r="AF412" s="2046"/>
    </row>
    <row r="413" spans="2:67" ht="15" customHeight="1">
      <c r="B413" s="2052"/>
      <c r="C413" s="2047"/>
      <c r="D413" s="2047"/>
      <c r="E413" s="2047"/>
      <c r="F413" s="2047"/>
      <c r="G413" s="2047"/>
      <c r="H413" s="2047"/>
      <c r="I413" s="2047"/>
      <c r="J413" s="2047"/>
      <c r="K413" s="2047"/>
      <c r="L413" s="2047"/>
      <c r="M413" s="2047"/>
      <c r="N413" s="2047"/>
      <c r="O413" s="2047"/>
      <c r="P413" s="2048"/>
      <c r="Q413" s="578"/>
      <c r="R413" s="2052"/>
      <c r="S413" s="2047"/>
      <c r="T413" s="2047"/>
      <c r="U413" s="2047"/>
      <c r="V413" s="2047"/>
      <c r="W413" s="2047"/>
      <c r="X413" s="2047"/>
      <c r="Y413" s="2047"/>
      <c r="Z413" s="2047"/>
      <c r="AA413" s="2047"/>
      <c r="AB413" s="2047"/>
      <c r="AC413" s="2047"/>
      <c r="AD413" s="2047"/>
      <c r="AE413" s="2047"/>
      <c r="AF413" s="2048"/>
    </row>
    <row r="414" spans="2:67" ht="15" customHeight="1">
      <c r="B414" s="2052"/>
      <c r="C414" s="2047"/>
      <c r="D414" s="2047"/>
      <c r="E414" s="2047"/>
      <c r="F414" s="2047"/>
      <c r="G414" s="2047"/>
      <c r="H414" s="2047"/>
      <c r="I414" s="2047"/>
      <c r="J414" s="2047"/>
      <c r="K414" s="2047"/>
      <c r="L414" s="2047"/>
      <c r="M414" s="2047"/>
      <c r="N414" s="2047"/>
      <c r="O414" s="2047"/>
      <c r="P414" s="2048"/>
      <c r="Q414" s="578"/>
      <c r="R414" s="2052"/>
      <c r="S414" s="2047"/>
      <c r="T414" s="2047"/>
      <c r="U414" s="2047"/>
      <c r="V414" s="2047"/>
      <c r="W414" s="2047"/>
      <c r="X414" s="2047"/>
      <c r="Y414" s="2047"/>
      <c r="Z414" s="2047"/>
      <c r="AA414" s="2047"/>
      <c r="AB414" s="2047"/>
      <c r="AC414" s="2047"/>
      <c r="AD414" s="2047"/>
      <c r="AE414" s="2047"/>
      <c r="AF414" s="2048"/>
    </row>
    <row r="415" spans="2:67" ht="15" customHeight="1">
      <c r="B415" s="2052"/>
      <c r="C415" s="2047"/>
      <c r="D415" s="2047"/>
      <c r="E415" s="2047"/>
      <c r="F415" s="2047"/>
      <c r="G415" s="2047"/>
      <c r="H415" s="2047"/>
      <c r="I415" s="2047"/>
      <c r="J415" s="2047"/>
      <c r="K415" s="2047"/>
      <c r="L415" s="2047"/>
      <c r="M415" s="2047"/>
      <c r="N415" s="2047"/>
      <c r="O415" s="2047"/>
      <c r="P415" s="2048"/>
      <c r="Q415" s="578"/>
      <c r="R415" s="2052"/>
      <c r="S415" s="2047"/>
      <c r="T415" s="2047"/>
      <c r="U415" s="2047"/>
      <c r="V415" s="2047"/>
      <c r="W415" s="2047"/>
      <c r="X415" s="2047"/>
      <c r="Y415" s="2047"/>
      <c r="Z415" s="2047"/>
      <c r="AA415" s="2047"/>
      <c r="AB415" s="2047"/>
      <c r="AC415" s="2047"/>
      <c r="AD415" s="2047"/>
      <c r="AE415" s="2047"/>
      <c r="AF415" s="2048"/>
    </row>
    <row r="416" spans="2:67" ht="15" customHeight="1">
      <c r="B416" s="2052"/>
      <c r="C416" s="2047"/>
      <c r="D416" s="2047"/>
      <c r="E416" s="2047"/>
      <c r="F416" s="2047"/>
      <c r="G416" s="2047"/>
      <c r="H416" s="2047"/>
      <c r="I416" s="2047"/>
      <c r="J416" s="2047"/>
      <c r="K416" s="2047"/>
      <c r="L416" s="2047"/>
      <c r="M416" s="2047"/>
      <c r="N416" s="2047"/>
      <c r="O416" s="2047"/>
      <c r="P416" s="2048"/>
      <c r="Q416" s="578"/>
      <c r="R416" s="2052"/>
      <c r="S416" s="2047"/>
      <c r="T416" s="2047"/>
      <c r="U416" s="2047"/>
      <c r="V416" s="2047"/>
      <c r="W416" s="2047"/>
      <c r="X416" s="2047"/>
      <c r="Y416" s="2047"/>
      <c r="Z416" s="2047"/>
      <c r="AA416" s="2047"/>
      <c r="AB416" s="2047"/>
      <c r="AC416" s="2047"/>
      <c r="AD416" s="2047"/>
      <c r="AE416" s="2047"/>
      <c r="AF416" s="2048"/>
    </row>
    <row r="417" spans="2:32" ht="15" customHeight="1">
      <c r="B417" s="2052"/>
      <c r="C417" s="2047"/>
      <c r="D417" s="2047"/>
      <c r="E417" s="2047"/>
      <c r="F417" s="2047"/>
      <c r="G417" s="2047"/>
      <c r="H417" s="2047"/>
      <c r="I417" s="2047"/>
      <c r="J417" s="2047"/>
      <c r="K417" s="2047"/>
      <c r="L417" s="2047"/>
      <c r="M417" s="2047"/>
      <c r="N417" s="2047"/>
      <c r="O417" s="2047"/>
      <c r="P417" s="2048"/>
      <c r="Q417" s="578"/>
      <c r="R417" s="2052"/>
      <c r="S417" s="2047"/>
      <c r="T417" s="2047"/>
      <c r="U417" s="2047"/>
      <c r="V417" s="2047"/>
      <c r="W417" s="2047"/>
      <c r="X417" s="2047"/>
      <c r="Y417" s="2047"/>
      <c r="Z417" s="2047"/>
      <c r="AA417" s="2047"/>
      <c r="AB417" s="2047"/>
      <c r="AC417" s="2047"/>
      <c r="AD417" s="2047"/>
      <c r="AE417" s="2047"/>
      <c r="AF417" s="2048"/>
    </row>
    <row r="418" spans="2:32" ht="15" customHeight="1">
      <c r="B418" s="2052"/>
      <c r="C418" s="2047"/>
      <c r="D418" s="2047"/>
      <c r="E418" s="2047"/>
      <c r="F418" s="2047"/>
      <c r="G418" s="2047"/>
      <c r="H418" s="2047"/>
      <c r="I418" s="2047"/>
      <c r="J418" s="2047"/>
      <c r="K418" s="2047"/>
      <c r="L418" s="2047"/>
      <c r="M418" s="2047"/>
      <c r="N418" s="2047"/>
      <c r="O418" s="2047"/>
      <c r="P418" s="2048"/>
      <c r="Q418" s="578"/>
      <c r="R418" s="2052"/>
      <c r="S418" s="2047"/>
      <c r="T418" s="2047"/>
      <c r="U418" s="2047"/>
      <c r="V418" s="2047"/>
      <c r="W418" s="2047"/>
      <c r="X418" s="2047"/>
      <c r="Y418" s="2047"/>
      <c r="Z418" s="2047"/>
      <c r="AA418" s="2047"/>
      <c r="AB418" s="2047"/>
      <c r="AC418" s="2047"/>
      <c r="AD418" s="2047"/>
      <c r="AE418" s="2047"/>
      <c r="AF418" s="2048"/>
    </row>
    <row r="419" spans="2:32" ht="15" customHeight="1">
      <c r="B419" s="2052"/>
      <c r="C419" s="2047"/>
      <c r="D419" s="2047"/>
      <c r="E419" s="2047"/>
      <c r="F419" s="2047"/>
      <c r="G419" s="2047"/>
      <c r="H419" s="2047"/>
      <c r="I419" s="2047"/>
      <c r="J419" s="2047"/>
      <c r="K419" s="2047"/>
      <c r="L419" s="2047"/>
      <c r="M419" s="2047"/>
      <c r="N419" s="2047"/>
      <c r="O419" s="2047"/>
      <c r="P419" s="2048"/>
      <c r="Q419" s="578"/>
      <c r="R419" s="2052"/>
      <c r="S419" s="2047"/>
      <c r="T419" s="2047"/>
      <c r="U419" s="2047"/>
      <c r="V419" s="2047"/>
      <c r="W419" s="2047"/>
      <c r="X419" s="2047"/>
      <c r="Y419" s="2047"/>
      <c r="Z419" s="2047"/>
      <c r="AA419" s="2047"/>
      <c r="AB419" s="2047"/>
      <c r="AC419" s="2047"/>
      <c r="AD419" s="2047"/>
      <c r="AE419" s="2047"/>
      <c r="AF419" s="2048"/>
    </row>
    <row r="420" spans="2:32" ht="15" customHeight="1">
      <c r="B420" s="2052"/>
      <c r="C420" s="2047"/>
      <c r="D420" s="2047"/>
      <c r="E420" s="2047"/>
      <c r="F420" s="2047"/>
      <c r="G420" s="2047"/>
      <c r="H420" s="2047"/>
      <c r="I420" s="2047"/>
      <c r="J420" s="2047"/>
      <c r="K420" s="2047"/>
      <c r="L420" s="2047"/>
      <c r="M420" s="2047"/>
      <c r="N420" s="2047"/>
      <c r="O420" s="2047"/>
      <c r="P420" s="2048"/>
      <c r="Q420" s="578"/>
      <c r="R420" s="2052"/>
      <c r="S420" s="2047"/>
      <c r="T420" s="2047"/>
      <c r="U420" s="2047"/>
      <c r="V420" s="2047"/>
      <c r="W420" s="2047"/>
      <c r="X420" s="2047"/>
      <c r="Y420" s="2047"/>
      <c r="Z420" s="2047"/>
      <c r="AA420" s="2047"/>
      <c r="AB420" s="2047"/>
      <c r="AC420" s="2047"/>
      <c r="AD420" s="2047"/>
      <c r="AE420" s="2047"/>
      <c r="AF420" s="2048"/>
    </row>
    <row r="421" spans="2:32" ht="15" customHeight="1">
      <c r="B421" s="2052"/>
      <c r="C421" s="2047"/>
      <c r="D421" s="2047"/>
      <c r="E421" s="2047"/>
      <c r="F421" s="2047"/>
      <c r="G421" s="2047"/>
      <c r="H421" s="2047"/>
      <c r="I421" s="2047"/>
      <c r="J421" s="2047"/>
      <c r="K421" s="2047"/>
      <c r="L421" s="2047"/>
      <c r="M421" s="2047"/>
      <c r="N421" s="2047"/>
      <c r="O421" s="2047"/>
      <c r="P421" s="2048"/>
      <c r="Q421" s="578"/>
      <c r="R421" s="2052"/>
      <c r="S421" s="2047"/>
      <c r="T421" s="2047"/>
      <c r="U421" s="2047"/>
      <c r="V421" s="2047"/>
      <c r="W421" s="2047"/>
      <c r="X421" s="2047"/>
      <c r="Y421" s="2047"/>
      <c r="Z421" s="2047"/>
      <c r="AA421" s="2047"/>
      <c r="AB421" s="2047"/>
      <c r="AC421" s="2047"/>
      <c r="AD421" s="2047"/>
      <c r="AE421" s="2047"/>
      <c r="AF421" s="2048"/>
    </row>
    <row r="422" spans="2:32" ht="15" customHeight="1">
      <c r="B422" s="2052"/>
      <c r="C422" s="2047"/>
      <c r="D422" s="2047"/>
      <c r="E422" s="2047"/>
      <c r="F422" s="2047"/>
      <c r="G422" s="2047"/>
      <c r="H422" s="2047"/>
      <c r="I422" s="2047"/>
      <c r="J422" s="2047"/>
      <c r="K422" s="2047"/>
      <c r="L422" s="2047"/>
      <c r="M422" s="2047"/>
      <c r="N422" s="2047"/>
      <c r="O422" s="2047"/>
      <c r="P422" s="2048"/>
      <c r="Q422" s="578"/>
      <c r="R422" s="2052"/>
      <c r="S422" s="2047"/>
      <c r="T422" s="2047"/>
      <c r="U422" s="2047"/>
      <c r="V422" s="2047"/>
      <c r="W422" s="2047"/>
      <c r="X422" s="2047"/>
      <c r="Y422" s="2047"/>
      <c r="Z422" s="2047"/>
      <c r="AA422" s="2047"/>
      <c r="AB422" s="2047"/>
      <c r="AC422" s="2047"/>
      <c r="AD422" s="2047"/>
      <c r="AE422" s="2047"/>
      <c r="AF422" s="2048"/>
    </row>
    <row r="423" spans="2:32" ht="15" customHeight="1">
      <c r="B423" s="2053"/>
      <c r="C423" s="2049"/>
      <c r="D423" s="2049"/>
      <c r="E423" s="2049"/>
      <c r="F423" s="2049"/>
      <c r="G423" s="2049"/>
      <c r="H423" s="2049"/>
      <c r="I423" s="2049"/>
      <c r="J423" s="2049"/>
      <c r="K423" s="2049"/>
      <c r="L423" s="2049"/>
      <c r="M423" s="2049"/>
      <c r="N423" s="2049"/>
      <c r="O423" s="2049"/>
      <c r="P423" s="2050"/>
      <c r="Q423" s="578"/>
      <c r="R423" s="2053"/>
      <c r="S423" s="2049"/>
      <c r="T423" s="2049"/>
      <c r="U423" s="2049"/>
      <c r="V423" s="2049"/>
      <c r="W423" s="2049"/>
      <c r="X423" s="2049"/>
      <c r="Y423" s="2049"/>
      <c r="Z423" s="2049"/>
      <c r="AA423" s="2049"/>
      <c r="AB423" s="2049"/>
      <c r="AC423" s="2049"/>
      <c r="AD423" s="2049"/>
      <c r="AE423" s="2049"/>
      <c r="AF423" s="2050"/>
    </row>
    <row r="424" spans="2:32" ht="15" customHeight="1">
      <c r="B424" s="645"/>
      <c r="C424" s="645"/>
      <c r="D424" s="645"/>
      <c r="E424" s="645"/>
      <c r="F424" s="645"/>
      <c r="G424" s="645"/>
      <c r="H424" s="645"/>
      <c r="I424" s="645"/>
      <c r="J424" s="645"/>
      <c r="K424" s="645"/>
      <c r="L424" s="645"/>
      <c r="M424" s="645"/>
      <c r="N424" s="645"/>
      <c r="O424" s="645"/>
      <c r="P424" s="645"/>
      <c r="Q424" s="645"/>
      <c r="R424" s="645"/>
      <c r="S424" s="645"/>
      <c r="T424" s="645"/>
      <c r="U424" s="645"/>
      <c r="V424" s="645"/>
      <c r="W424" s="645"/>
      <c r="X424" s="645"/>
      <c r="Y424" s="645"/>
      <c r="Z424" s="645"/>
      <c r="AA424" s="645"/>
      <c r="AB424" s="645"/>
      <c r="AC424" s="645"/>
      <c r="AD424" s="645"/>
      <c r="AE424" s="645"/>
      <c r="AF424" s="645"/>
    </row>
    <row r="425" spans="2:32" ht="15" customHeight="1">
      <c r="B425" s="1989" t="s">
        <v>590</v>
      </c>
      <c r="C425" s="1990"/>
      <c r="D425" s="1990"/>
      <c r="E425" s="1990"/>
      <c r="F425" s="1990"/>
      <c r="G425" s="1990"/>
      <c r="H425" s="1990"/>
      <c r="I425" s="1990"/>
      <c r="J425" s="1990"/>
      <c r="K425" s="1990"/>
      <c r="L425" s="1990"/>
      <c r="M425" s="1990"/>
      <c r="N425" s="1990"/>
      <c r="O425" s="1990"/>
      <c r="P425" s="1991"/>
      <c r="Q425" s="580"/>
      <c r="R425" s="1989" t="s">
        <v>591</v>
      </c>
      <c r="S425" s="1990"/>
      <c r="T425" s="1990"/>
      <c r="U425" s="1990"/>
      <c r="V425" s="1990"/>
      <c r="W425" s="1990"/>
      <c r="X425" s="1990"/>
      <c r="Y425" s="1990"/>
      <c r="Z425" s="1990"/>
      <c r="AA425" s="1990"/>
      <c r="AB425" s="1990"/>
      <c r="AC425" s="1990"/>
      <c r="AD425" s="1990"/>
      <c r="AE425" s="1990"/>
      <c r="AF425" s="1991"/>
    </row>
    <row r="426" spans="2:32" ht="15" customHeight="1">
      <c r="B426" s="1992"/>
      <c r="C426" s="1993"/>
      <c r="D426" s="1993"/>
      <c r="E426" s="1993"/>
      <c r="F426" s="1993"/>
      <c r="G426" s="1993"/>
      <c r="H426" s="1993"/>
      <c r="I426" s="1993"/>
      <c r="J426" s="1993"/>
      <c r="K426" s="1993"/>
      <c r="L426" s="1993"/>
      <c r="M426" s="1993"/>
      <c r="N426" s="1993"/>
      <c r="O426" s="1993"/>
      <c r="P426" s="1994"/>
      <c r="Q426" s="580"/>
      <c r="R426" s="1992"/>
      <c r="S426" s="1993"/>
      <c r="T426" s="1993"/>
      <c r="U426" s="1993"/>
      <c r="V426" s="1993"/>
      <c r="W426" s="1993"/>
      <c r="X426" s="1993"/>
      <c r="Y426" s="1993"/>
      <c r="Z426" s="1993"/>
      <c r="AA426" s="1993"/>
      <c r="AB426" s="1993"/>
      <c r="AC426" s="1993"/>
      <c r="AD426" s="1993"/>
      <c r="AE426" s="1993"/>
      <c r="AF426" s="1994"/>
    </row>
    <row r="427" spans="2:32" ht="15" customHeight="1">
      <c r="B427" s="1995"/>
      <c r="C427" s="1996"/>
      <c r="D427" s="1996"/>
      <c r="E427" s="1996"/>
      <c r="F427" s="1996"/>
      <c r="G427" s="1996"/>
      <c r="H427" s="1996"/>
      <c r="I427" s="1996"/>
      <c r="J427" s="1996"/>
      <c r="K427" s="1996"/>
      <c r="L427" s="1996"/>
      <c r="M427" s="1996"/>
      <c r="N427" s="1996"/>
      <c r="O427" s="1996"/>
      <c r="P427" s="1997"/>
      <c r="Q427" s="579"/>
      <c r="R427" s="1995"/>
      <c r="S427" s="1996"/>
      <c r="T427" s="1996"/>
      <c r="U427" s="1996"/>
      <c r="V427" s="1996"/>
      <c r="W427" s="1996"/>
      <c r="X427" s="1996"/>
      <c r="Y427" s="1996"/>
      <c r="Z427" s="1996"/>
      <c r="AA427" s="1996"/>
      <c r="AB427" s="1996"/>
      <c r="AC427" s="1996"/>
      <c r="AD427" s="1996"/>
      <c r="AE427" s="1996"/>
      <c r="AF427" s="1997"/>
    </row>
    <row r="428" spans="2:32" ht="15" customHeight="1">
      <c r="B428" s="364"/>
      <c r="C428" s="364"/>
      <c r="D428" s="364"/>
      <c r="E428" s="364"/>
      <c r="F428" s="364"/>
      <c r="G428" s="364"/>
      <c r="H428" s="364"/>
      <c r="I428" s="364"/>
      <c r="J428" s="364"/>
      <c r="K428" s="364"/>
      <c r="L428" s="364"/>
      <c r="M428" s="364"/>
      <c r="N428" s="364"/>
      <c r="O428" s="364"/>
      <c r="P428" s="364"/>
      <c r="Q428" s="579"/>
      <c r="R428" s="364"/>
      <c r="S428" s="364"/>
      <c r="T428" s="364"/>
      <c r="U428" s="364"/>
      <c r="V428" s="364"/>
      <c r="W428" s="364"/>
      <c r="X428" s="364"/>
      <c r="Y428" s="364"/>
      <c r="Z428" s="364"/>
      <c r="AA428" s="364"/>
      <c r="AB428" s="364"/>
      <c r="AC428" s="364"/>
      <c r="AD428" s="364"/>
      <c r="AE428" s="364"/>
      <c r="AF428" s="364"/>
    </row>
    <row r="429" spans="2:32" ht="15" customHeight="1">
      <c r="B429" s="364"/>
      <c r="C429" s="364"/>
      <c r="D429" s="364"/>
      <c r="E429" s="364"/>
      <c r="F429" s="364"/>
      <c r="G429" s="364"/>
      <c r="H429" s="364"/>
      <c r="I429" s="364"/>
      <c r="J429" s="364"/>
      <c r="K429" s="364"/>
      <c r="L429" s="364"/>
      <c r="M429" s="364"/>
      <c r="N429" s="364"/>
      <c r="O429" s="364"/>
      <c r="P429" s="364"/>
      <c r="Q429" s="579"/>
      <c r="R429" s="364"/>
      <c r="S429" s="364"/>
      <c r="T429" s="364"/>
      <c r="U429" s="364"/>
      <c r="V429" s="364"/>
      <c r="W429" s="364"/>
      <c r="X429" s="364"/>
      <c r="Y429" s="364"/>
      <c r="Z429" s="364"/>
      <c r="AA429" s="364"/>
      <c r="AB429" s="364"/>
      <c r="AC429" s="364"/>
      <c r="AD429" s="364"/>
      <c r="AE429" s="364"/>
      <c r="AF429" s="364"/>
    </row>
    <row r="430" spans="2:32" ht="15" customHeight="1">
      <c r="B430" s="645"/>
      <c r="C430" s="645"/>
      <c r="D430" s="645"/>
      <c r="E430" s="645"/>
      <c r="F430" s="645"/>
      <c r="G430" s="645"/>
      <c r="H430" s="645"/>
      <c r="I430" s="645"/>
      <c r="J430" s="645"/>
      <c r="K430" s="645"/>
      <c r="L430" s="645"/>
      <c r="M430" s="645"/>
      <c r="N430" s="645"/>
      <c r="O430" s="645"/>
      <c r="P430" s="645"/>
      <c r="Q430" s="645"/>
      <c r="R430" s="645"/>
      <c r="S430" s="645"/>
      <c r="T430" s="645"/>
      <c r="U430" s="645"/>
      <c r="V430" s="645"/>
      <c r="W430" s="645"/>
      <c r="X430" s="645"/>
      <c r="Y430" s="645"/>
      <c r="Z430" s="645"/>
      <c r="AA430" s="645"/>
      <c r="AB430" s="645"/>
      <c r="AC430" s="645"/>
      <c r="AD430" s="645"/>
      <c r="AE430" s="645"/>
      <c r="AF430" s="645"/>
    </row>
    <row r="431" spans="2:32" ht="15" customHeight="1">
      <c r="B431" s="2051"/>
      <c r="C431" s="2045"/>
      <c r="D431" s="2045"/>
      <c r="E431" s="2045"/>
      <c r="F431" s="2045"/>
      <c r="G431" s="2045"/>
      <c r="H431" s="2045"/>
      <c r="I431" s="2045"/>
      <c r="J431" s="2045"/>
      <c r="K431" s="2045"/>
      <c r="L431" s="2045"/>
      <c r="M431" s="2045"/>
      <c r="N431" s="2045"/>
      <c r="O431" s="2045"/>
      <c r="P431" s="2046"/>
      <c r="Q431" s="578"/>
      <c r="R431" s="2051"/>
      <c r="S431" s="2045"/>
      <c r="T431" s="2045"/>
      <c r="U431" s="2045"/>
      <c r="V431" s="2045"/>
      <c r="W431" s="2045"/>
      <c r="X431" s="2045"/>
      <c r="Y431" s="2045"/>
      <c r="Z431" s="2045"/>
      <c r="AA431" s="2045"/>
      <c r="AB431" s="2045"/>
      <c r="AC431" s="2045"/>
      <c r="AD431" s="2045"/>
      <c r="AE431" s="2045"/>
      <c r="AF431" s="2046"/>
    </row>
    <row r="432" spans="2:32" ht="15" customHeight="1">
      <c r="B432" s="2052"/>
      <c r="C432" s="2047"/>
      <c r="D432" s="2047"/>
      <c r="E432" s="2047"/>
      <c r="F432" s="2047"/>
      <c r="G432" s="2047"/>
      <c r="H432" s="2047"/>
      <c r="I432" s="2047"/>
      <c r="J432" s="2047"/>
      <c r="K432" s="2047"/>
      <c r="L432" s="2047"/>
      <c r="M432" s="2047"/>
      <c r="N432" s="2047"/>
      <c r="O432" s="2047"/>
      <c r="P432" s="2048"/>
      <c r="Q432" s="578"/>
      <c r="R432" s="2052"/>
      <c r="S432" s="2047"/>
      <c r="T432" s="2047"/>
      <c r="U432" s="2047"/>
      <c r="V432" s="2047"/>
      <c r="W432" s="2047"/>
      <c r="X432" s="2047"/>
      <c r="Y432" s="2047"/>
      <c r="Z432" s="2047"/>
      <c r="AA432" s="2047"/>
      <c r="AB432" s="2047"/>
      <c r="AC432" s="2047"/>
      <c r="AD432" s="2047"/>
      <c r="AE432" s="2047"/>
      <c r="AF432" s="2048"/>
    </row>
    <row r="433" spans="2:32" ht="15" customHeight="1">
      <c r="B433" s="2052"/>
      <c r="C433" s="2047"/>
      <c r="D433" s="2047"/>
      <c r="E433" s="2047"/>
      <c r="F433" s="2047"/>
      <c r="G433" s="2047"/>
      <c r="H433" s="2047"/>
      <c r="I433" s="2047"/>
      <c r="J433" s="2047"/>
      <c r="K433" s="2047"/>
      <c r="L433" s="2047"/>
      <c r="M433" s="2047"/>
      <c r="N433" s="2047"/>
      <c r="O433" s="2047"/>
      <c r="P433" s="2048"/>
      <c r="Q433" s="578"/>
      <c r="R433" s="2052"/>
      <c r="S433" s="2047"/>
      <c r="T433" s="2047"/>
      <c r="U433" s="2047"/>
      <c r="V433" s="2047"/>
      <c r="W433" s="2047"/>
      <c r="X433" s="2047"/>
      <c r="Y433" s="2047"/>
      <c r="Z433" s="2047"/>
      <c r="AA433" s="2047"/>
      <c r="AB433" s="2047"/>
      <c r="AC433" s="2047"/>
      <c r="AD433" s="2047"/>
      <c r="AE433" s="2047"/>
      <c r="AF433" s="2048"/>
    </row>
    <row r="434" spans="2:32" ht="15" customHeight="1">
      <c r="B434" s="2052"/>
      <c r="C434" s="2047"/>
      <c r="D434" s="2047"/>
      <c r="E434" s="2047"/>
      <c r="F434" s="2047"/>
      <c r="G434" s="2047"/>
      <c r="H434" s="2047"/>
      <c r="I434" s="2047"/>
      <c r="J434" s="2047"/>
      <c r="K434" s="2047"/>
      <c r="L434" s="2047"/>
      <c r="M434" s="2047"/>
      <c r="N434" s="2047"/>
      <c r="O434" s="2047"/>
      <c r="P434" s="2048"/>
      <c r="Q434" s="578"/>
      <c r="R434" s="2052"/>
      <c r="S434" s="2047"/>
      <c r="T434" s="2047"/>
      <c r="U434" s="2047"/>
      <c r="V434" s="2047"/>
      <c r="W434" s="2047"/>
      <c r="X434" s="2047"/>
      <c r="Y434" s="2047"/>
      <c r="Z434" s="2047"/>
      <c r="AA434" s="2047"/>
      <c r="AB434" s="2047"/>
      <c r="AC434" s="2047"/>
      <c r="AD434" s="2047"/>
      <c r="AE434" s="2047"/>
      <c r="AF434" s="2048"/>
    </row>
    <row r="435" spans="2:32" ht="15" customHeight="1">
      <c r="B435" s="2052"/>
      <c r="C435" s="2047"/>
      <c r="D435" s="2047"/>
      <c r="E435" s="2047"/>
      <c r="F435" s="2047"/>
      <c r="G435" s="2047"/>
      <c r="H435" s="2047"/>
      <c r="I435" s="2047"/>
      <c r="J435" s="2047"/>
      <c r="K435" s="2047"/>
      <c r="L435" s="2047"/>
      <c r="M435" s="2047"/>
      <c r="N435" s="2047"/>
      <c r="O435" s="2047"/>
      <c r="P435" s="2048"/>
      <c r="Q435" s="578"/>
      <c r="R435" s="2052"/>
      <c r="S435" s="2047"/>
      <c r="T435" s="2047"/>
      <c r="U435" s="2047"/>
      <c r="V435" s="2047"/>
      <c r="W435" s="2047"/>
      <c r="X435" s="2047"/>
      <c r="Y435" s="2047"/>
      <c r="Z435" s="2047"/>
      <c r="AA435" s="2047"/>
      <c r="AB435" s="2047"/>
      <c r="AC435" s="2047"/>
      <c r="AD435" s="2047"/>
      <c r="AE435" s="2047"/>
      <c r="AF435" s="2048"/>
    </row>
    <row r="436" spans="2:32" ht="15" customHeight="1">
      <c r="B436" s="2052"/>
      <c r="C436" s="2047"/>
      <c r="D436" s="2047"/>
      <c r="E436" s="2047"/>
      <c r="F436" s="2047"/>
      <c r="G436" s="2047"/>
      <c r="H436" s="2047"/>
      <c r="I436" s="2047"/>
      <c r="J436" s="2047"/>
      <c r="K436" s="2047"/>
      <c r="L436" s="2047"/>
      <c r="M436" s="2047"/>
      <c r="N436" s="2047"/>
      <c r="O436" s="2047"/>
      <c r="P436" s="2048"/>
      <c r="Q436" s="578"/>
      <c r="R436" s="2052"/>
      <c r="S436" s="2047"/>
      <c r="T436" s="2047"/>
      <c r="U436" s="2047"/>
      <c r="V436" s="2047"/>
      <c r="W436" s="2047"/>
      <c r="X436" s="2047"/>
      <c r="Y436" s="2047"/>
      <c r="Z436" s="2047"/>
      <c r="AA436" s="2047"/>
      <c r="AB436" s="2047"/>
      <c r="AC436" s="2047"/>
      <c r="AD436" s="2047"/>
      <c r="AE436" s="2047"/>
      <c r="AF436" s="2048"/>
    </row>
    <row r="437" spans="2:32" ht="15" customHeight="1">
      <c r="B437" s="2052"/>
      <c r="C437" s="2047"/>
      <c r="D437" s="2047"/>
      <c r="E437" s="2047"/>
      <c r="F437" s="2047"/>
      <c r="G437" s="2047"/>
      <c r="H437" s="2047"/>
      <c r="I437" s="2047"/>
      <c r="J437" s="2047"/>
      <c r="K437" s="2047"/>
      <c r="L437" s="2047"/>
      <c r="M437" s="2047"/>
      <c r="N437" s="2047"/>
      <c r="O437" s="2047"/>
      <c r="P437" s="2048"/>
      <c r="Q437" s="578"/>
      <c r="R437" s="2052"/>
      <c r="S437" s="2047"/>
      <c r="T437" s="2047"/>
      <c r="U437" s="2047"/>
      <c r="V437" s="2047"/>
      <c r="W437" s="2047"/>
      <c r="X437" s="2047"/>
      <c r="Y437" s="2047"/>
      <c r="Z437" s="2047"/>
      <c r="AA437" s="2047"/>
      <c r="AB437" s="2047"/>
      <c r="AC437" s="2047"/>
      <c r="AD437" s="2047"/>
      <c r="AE437" s="2047"/>
      <c r="AF437" s="2048"/>
    </row>
    <row r="438" spans="2:32" ht="15" customHeight="1">
      <c r="B438" s="2052"/>
      <c r="C438" s="2047"/>
      <c r="D438" s="2047"/>
      <c r="E438" s="2047"/>
      <c r="F438" s="2047"/>
      <c r="G438" s="2047"/>
      <c r="H438" s="2047"/>
      <c r="I438" s="2047"/>
      <c r="J438" s="2047"/>
      <c r="K438" s="2047"/>
      <c r="L438" s="2047"/>
      <c r="M438" s="2047"/>
      <c r="N438" s="2047"/>
      <c r="O438" s="2047"/>
      <c r="P438" s="2048"/>
      <c r="Q438" s="578"/>
      <c r="R438" s="2052"/>
      <c r="S438" s="2047"/>
      <c r="T438" s="2047"/>
      <c r="U438" s="2047"/>
      <c r="V438" s="2047"/>
      <c r="W438" s="2047"/>
      <c r="X438" s="2047"/>
      <c r="Y438" s="2047"/>
      <c r="Z438" s="2047"/>
      <c r="AA438" s="2047"/>
      <c r="AB438" s="2047"/>
      <c r="AC438" s="2047"/>
      <c r="AD438" s="2047"/>
      <c r="AE438" s="2047"/>
      <c r="AF438" s="2048"/>
    </row>
    <row r="439" spans="2:32" ht="15" customHeight="1">
      <c r="B439" s="2052"/>
      <c r="C439" s="2047"/>
      <c r="D439" s="2047"/>
      <c r="E439" s="2047"/>
      <c r="F439" s="2047"/>
      <c r="G439" s="2047"/>
      <c r="H439" s="2047"/>
      <c r="I439" s="2047"/>
      <c r="J439" s="2047"/>
      <c r="K439" s="2047"/>
      <c r="L439" s="2047"/>
      <c r="M439" s="2047"/>
      <c r="N439" s="2047"/>
      <c r="O439" s="2047"/>
      <c r="P439" s="2048"/>
      <c r="Q439" s="578"/>
      <c r="R439" s="2052"/>
      <c r="S439" s="2047"/>
      <c r="T439" s="2047"/>
      <c r="U439" s="2047"/>
      <c r="V439" s="2047"/>
      <c r="W439" s="2047"/>
      <c r="X439" s="2047"/>
      <c r="Y439" s="2047"/>
      <c r="Z439" s="2047"/>
      <c r="AA439" s="2047"/>
      <c r="AB439" s="2047"/>
      <c r="AC439" s="2047"/>
      <c r="AD439" s="2047"/>
      <c r="AE439" s="2047"/>
      <c r="AF439" s="2048"/>
    </row>
    <row r="440" spans="2:32" ht="15" customHeight="1">
      <c r="B440" s="2052"/>
      <c r="C440" s="2047"/>
      <c r="D440" s="2047"/>
      <c r="E440" s="2047"/>
      <c r="F440" s="2047"/>
      <c r="G440" s="2047"/>
      <c r="H440" s="2047"/>
      <c r="I440" s="2047"/>
      <c r="J440" s="2047"/>
      <c r="K440" s="2047"/>
      <c r="L440" s="2047"/>
      <c r="M440" s="2047"/>
      <c r="N440" s="2047"/>
      <c r="O440" s="2047"/>
      <c r="P440" s="2048"/>
      <c r="Q440" s="578"/>
      <c r="R440" s="2052"/>
      <c r="S440" s="2047"/>
      <c r="T440" s="2047"/>
      <c r="U440" s="2047"/>
      <c r="V440" s="2047"/>
      <c r="W440" s="2047"/>
      <c r="X440" s="2047"/>
      <c r="Y440" s="2047"/>
      <c r="Z440" s="2047"/>
      <c r="AA440" s="2047"/>
      <c r="AB440" s="2047"/>
      <c r="AC440" s="2047"/>
      <c r="AD440" s="2047"/>
      <c r="AE440" s="2047"/>
      <c r="AF440" s="2048"/>
    </row>
    <row r="441" spans="2:32" ht="15" customHeight="1">
      <c r="B441" s="2052"/>
      <c r="C441" s="2047"/>
      <c r="D441" s="2047"/>
      <c r="E441" s="2047"/>
      <c r="F441" s="2047"/>
      <c r="G441" s="2047"/>
      <c r="H441" s="2047"/>
      <c r="I441" s="2047"/>
      <c r="J441" s="2047"/>
      <c r="K441" s="2047"/>
      <c r="L441" s="2047"/>
      <c r="M441" s="2047"/>
      <c r="N441" s="2047"/>
      <c r="O441" s="2047"/>
      <c r="P441" s="2048"/>
      <c r="Q441" s="578"/>
      <c r="R441" s="2052"/>
      <c r="S441" s="2047"/>
      <c r="T441" s="2047"/>
      <c r="U441" s="2047"/>
      <c r="V441" s="2047"/>
      <c r="W441" s="2047"/>
      <c r="X441" s="2047"/>
      <c r="Y441" s="2047"/>
      <c r="Z441" s="2047"/>
      <c r="AA441" s="2047"/>
      <c r="AB441" s="2047"/>
      <c r="AC441" s="2047"/>
      <c r="AD441" s="2047"/>
      <c r="AE441" s="2047"/>
      <c r="AF441" s="2048"/>
    </row>
    <row r="442" spans="2:32" ht="15" customHeight="1">
      <c r="B442" s="2053"/>
      <c r="C442" s="2049"/>
      <c r="D442" s="2049"/>
      <c r="E442" s="2049"/>
      <c r="F442" s="2049"/>
      <c r="G442" s="2049"/>
      <c r="H442" s="2049"/>
      <c r="I442" s="2049"/>
      <c r="J442" s="2049"/>
      <c r="K442" s="2049"/>
      <c r="L442" s="2049"/>
      <c r="M442" s="2049"/>
      <c r="N442" s="2049"/>
      <c r="O442" s="2049"/>
      <c r="P442" s="2050"/>
      <c r="Q442" s="578"/>
      <c r="R442" s="2053"/>
      <c r="S442" s="2049"/>
      <c r="T442" s="2049"/>
      <c r="U442" s="2049"/>
      <c r="V442" s="2049"/>
      <c r="W442" s="2049"/>
      <c r="X442" s="2049"/>
      <c r="Y442" s="2049"/>
      <c r="Z442" s="2049"/>
      <c r="AA442" s="2049"/>
      <c r="AB442" s="2049"/>
      <c r="AC442" s="2049"/>
      <c r="AD442" s="2049"/>
      <c r="AE442" s="2049"/>
      <c r="AF442" s="2050"/>
    </row>
    <row r="443" spans="2:32" ht="15" customHeight="1">
      <c r="B443" s="645"/>
      <c r="C443" s="645"/>
      <c r="D443" s="645"/>
      <c r="E443" s="645"/>
      <c r="F443" s="645"/>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E443" s="645"/>
      <c r="AF443" s="645"/>
    </row>
    <row r="444" spans="2:32" ht="15" customHeight="1">
      <c r="B444" s="1989"/>
      <c r="C444" s="1990"/>
      <c r="D444" s="1990"/>
      <c r="E444" s="1990"/>
      <c r="F444" s="1990"/>
      <c r="G444" s="1990"/>
      <c r="H444" s="1990"/>
      <c r="I444" s="1990"/>
      <c r="J444" s="1990"/>
      <c r="K444" s="1990"/>
      <c r="L444" s="1990"/>
      <c r="M444" s="1990"/>
      <c r="N444" s="1990"/>
      <c r="O444" s="1990"/>
      <c r="P444" s="1991"/>
      <c r="Q444" s="580"/>
      <c r="R444" s="1989"/>
      <c r="S444" s="1990"/>
      <c r="T444" s="1990"/>
      <c r="U444" s="1990"/>
      <c r="V444" s="1990"/>
      <c r="W444" s="1990"/>
      <c r="X444" s="1990"/>
      <c r="Y444" s="1990"/>
      <c r="Z444" s="1990"/>
      <c r="AA444" s="1990"/>
      <c r="AB444" s="1990"/>
      <c r="AC444" s="1990"/>
      <c r="AD444" s="1990"/>
      <c r="AE444" s="1990"/>
      <c r="AF444" s="1991"/>
    </row>
    <row r="445" spans="2:32" ht="15" customHeight="1">
      <c r="B445" s="1995"/>
      <c r="C445" s="1996"/>
      <c r="D445" s="1996"/>
      <c r="E445" s="1996"/>
      <c r="F445" s="1996"/>
      <c r="G445" s="1996"/>
      <c r="H445" s="1996"/>
      <c r="I445" s="1996"/>
      <c r="J445" s="1996"/>
      <c r="K445" s="1996"/>
      <c r="L445" s="1996"/>
      <c r="M445" s="1996"/>
      <c r="N445" s="1996"/>
      <c r="O445" s="1996"/>
      <c r="P445" s="1997"/>
      <c r="Q445" s="580"/>
      <c r="R445" s="1995"/>
      <c r="S445" s="1996"/>
      <c r="T445" s="1996"/>
      <c r="U445" s="1996"/>
      <c r="V445" s="1996"/>
      <c r="W445" s="1996"/>
      <c r="X445" s="1996"/>
      <c r="Y445" s="1996"/>
      <c r="Z445" s="1996"/>
      <c r="AA445" s="1996"/>
      <c r="AB445" s="1996"/>
      <c r="AC445" s="1996"/>
      <c r="AD445" s="1996"/>
      <c r="AE445" s="1996"/>
      <c r="AF445" s="1997"/>
    </row>
    <row r="446" spans="2:32" ht="15" customHeight="1">
      <c r="B446" s="364"/>
      <c r="C446" s="364"/>
      <c r="D446" s="364"/>
      <c r="E446" s="364"/>
      <c r="F446" s="364"/>
      <c r="G446" s="364"/>
      <c r="H446" s="364"/>
      <c r="I446" s="364"/>
      <c r="J446" s="364"/>
      <c r="K446" s="364"/>
      <c r="L446" s="364"/>
      <c r="M446" s="364"/>
      <c r="N446" s="364"/>
      <c r="O446" s="364"/>
      <c r="P446" s="364"/>
      <c r="Q446" s="579"/>
      <c r="R446" s="364"/>
      <c r="S446" s="364"/>
      <c r="T446" s="364"/>
      <c r="U446" s="364"/>
      <c r="V446" s="364"/>
      <c r="W446" s="364"/>
      <c r="X446" s="364"/>
      <c r="Y446" s="364"/>
      <c r="Z446" s="364"/>
      <c r="AA446" s="364"/>
      <c r="AB446" s="364"/>
      <c r="AC446" s="364"/>
      <c r="AD446" s="364"/>
      <c r="AE446" s="364"/>
      <c r="AF446" s="364"/>
    </row>
    <row r="447" spans="2:32" ht="15" customHeight="1">
      <c r="B447" s="364"/>
      <c r="C447" s="364"/>
      <c r="D447" s="364"/>
      <c r="E447" s="364"/>
      <c r="F447" s="364"/>
      <c r="G447" s="364"/>
      <c r="H447" s="364"/>
      <c r="I447" s="364"/>
      <c r="J447" s="364"/>
      <c r="K447" s="364"/>
      <c r="L447" s="364"/>
      <c r="M447" s="364"/>
      <c r="N447" s="364"/>
      <c r="O447" s="364"/>
      <c r="P447" s="364"/>
      <c r="Q447" s="579"/>
      <c r="R447" s="364"/>
      <c r="S447" s="364"/>
      <c r="T447" s="364"/>
      <c r="U447" s="364"/>
      <c r="V447" s="364"/>
      <c r="W447" s="364"/>
      <c r="X447" s="364"/>
      <c r="Y447" s="364"/>
      <c r="Z447" s="364"/>
      <c r="AA447" s="364"/>
      <c r="AB447" s="364"/>
      <c r="AC447" s="364"/>
      <c r="AD447" s="364"/>
      <c r="AE447" s="364"/>
      <c r="AF447" s="364"/>
    </row>
    <row r="448" spans="2:32" ht="15" customHeight="1">
      <c r="B448" s="364"/>
      <c r="C448" s="364"/>
      <c r="D448" s="364"/>
      <c r="E448" s="364"/>
      <c r="F448" s="364"/>
      <c r="G448" s="364"/>
      <c r="H448" s="364"/>
      <c r="I448" s="364"/>
      <c r="J448" s="364"/>
      <c r="K448" s="364"/>
      <c r="L448" s="364"/>
      <c r="M448" s="364"/>
      <c r="N448" s="364"/>
      <c r="O448" s="364"/>
      <c r="P448" s="364"/>
      <c r="Q448" s="579"/>
      <c r="R448" s="364"/>
      <c r="S448" s="364"/>
      <c r="T448" s="364"/>
      <c r="U448" s="364"/>
      <c r="V448" s="364"/>
      <c r="W448" s="364"/>
      <c r="X448" s="364"/>
      <c r="Y448" s="364"/>
      <c r="Z448" s="364"/>
      <c r="AA448" s="364"/>
      <c r="AB448" s="364"/>
      <c r="AC448" s="364"/>
      <c r="AD448" s="364"/>
      <c r="AE448" s="364"/>
      <c r="AF448" s="364"/>
    </row>
    <row r="449" spans="2:32" ht="15" customHeight="1">
      <c r="B449" s="645"/>
      <c r="C449" s="645"/>
      <c r="D449" s="645"/>
      <c r="E449" s="645"/>
      <c r="F449" s="645"/>
      <c r="G449" s="645"/>
      <c r="H449" s="645"/>
      <c r="I449" s="645"/>
      <c r="J449" s="645"/>
      <c r="K449" s="645"/>
      <c r="L449" s="645"/>
      <c r="M449" s="645"/>
      <c r="N449" s="645"/>
      <c r="O449" s="645"/>
      <c r="P449" s="645"/>
      <c r="Q449" s="645"/>
      <c r="R449" s="645"/>
      <c r="S449" s="645"/>
      <c r="T449" s="645"/>
      <c r="U449" s="645"/>
      <c r="V449" s="645"/>
      <c r="W449" s="645"/>
      <c r="X449" s="645"/>
      <c r="Y449" s="645"/>
      <c r="Z449" s="645"/>
      <c r="AA449" s="645"/>
      <c r="AB449" s="645"/>
      <c r="AC449" s="645"/>
      <c r="AD449" s="645"/>
      <c r="AE449" s="645"/>
      <c r="AF449" s="645"/>
    </row>
    <row r="450" spans="2:32" ht="15" customHeight="1">
      <c r="B450" s="2051"/>
      <c r="C450" s="2045"/>
      <c r="D450" s="2045"/>
      <c r="E450" s="2045"/>
      <c r="F450" s="2045"/>
      <c r="G450" s="2045"/>
      <c r="H450" s="2045"/>
      <c r="I450" s="2045"/>
      <c r="J450" s="2045"/>
      <c r="K450" s="2045"/>
      <c r="L450" s="2045"/>
      <c r="M450" s="2045"/>
      <c r="N450" s="2045"/>
      <c r="O450" s="2045"/>
      <c r="P450" s="2046"/>
      <c r="Q450" s="578"/>
      <c r="R450" s="2051"/>
      <c r="S450" s="2045"/>
      <c r="T450" s="2045"/>
      <c r="U450" s="2045"/>
      <c r="V450" s="2045"/>
      <c r="W450" s="2045"/>
      <c r="X450" s="2045"/>
      <c r="Y450" s="2045"/>
      <c r="Z450" s="2045"/>
      <c r="AA450" s="2045"/>
      <c r="AB450" s="2045"/>
      <c r="AC450" s="2045"/>
      <c r="AD450" s="2045"/>
      <c r="AE450" s="2045"/>
      <c r="AF450" s="2046"/>
    </row>
    <row r="451" spans="2:32" ht="15" customHeight="1">
      <c r="B451" s="2052"/>
      <c r="C451" s="2047"/>
      <c r="D451" s="2047"/>
      <c r="E451" s="2047"/>
      <c r="F451" s="2047"/>
      <c r="G451" s="2047"/>
      <c r="H451" s="2047"/>
      <c r="I451" s="2047"/>
      <c r="J451" s="2047"/>
      <c r="K451" s="2047"/>
      <c r="L451" s="2047"/>
      <c r="M451" s="2047"/>
      <c r="N451" s="2047"/>
      <c r="O451" s="2047"/>
      <c r="P451" s="2048"/>
      <c r="Q451" s="578"/>
      <c r="R451" s="2052"/>
      <c r="S451" s="2047"/>
      <c r="T451" s="2047"/>
      <c r="U451" s="2047"/>
      <c r="V451" s="2047"/>
      <c r="W451" s="2047"/>
      <c r="X451" s="2047"/>
      <c r="Y451" s="2047"/>
      <c r="Z451" s="2047"/>
      <c r="AA451" s="2047"/>
      <c r="AB451" s="2047"/>
      <c r="AC451" s="2047"/>
      <c r="AD451" s="2047"/>
      <c r="AE451" s="2047"/>
      <c r="AF451" s="2048"/>
    </row>
    <row r="452" spans="2:32" ht="15" customHeight="1">
      <c r="B452" s="2052"/>
      <c r="C452" s="2047"/>
      <c r="D452" s="2047"/>
      <c r="E452" s="2047"/>
      <c r="F452" s="2047"/>
      <c r="G452" s="2047"/>
      <c r="H452" s="2047"/>
      <c r="I452" s="2047"/>
      <c r="J452" s="2047"/>
      <c r="K452" s="2047"/>
      <c r="L452" s="2047"/>
      <c r="M452" s="2047"/>
      <c r="N452" s="2047"/>
      <c r="O452" s="2047"/>
      <c r="P452" s="2048"/>
      <c r="Q452" s="578"/>
      <c r="R452" s="2052"/>
      <c r="S452" s="2047"/>
      <c r="T452" s="2047"/>
      <c r="U452" s="2047"/>
      <c r="V452" s="2047"/>
      <c r="W452" s="2047"/>
      <c r="X452" s="2047"/>
      <c r="Y452" s="2047"/>
      <c r="Z452" s="2047"/>
      <c r="AA452" s="2047"/>
      <c r="AB452" s="2047"/>
      <c r="AC452" s="2047"/>
      <c r="AD452" s="2047"/>
      <c r="AE452" s="2047"/>
      <c r="AF452" s="2048"/>
    </row>
    <row r="453" spans="2:32" ht="15" customHeight="1">
      <c r="B453" s="2052"/>
      <c r="C453" s="2047"/>
      <c r="D453" s="2047"/>
      <c r="E453" s="2047"/>
      <c r="F453" s="2047"/>
      <c r="G453" s="2047"/>
      <c r="H453" s="2047"/>
      <c r="I453" s="2047"/>
      <c r="J453" s="2047"/>
      <c r="K453" s="2047"/>
      <c r="L453" s="2047"/>
      <c r="M453" s="2047"/>
      <c r="N453" s="2047"/>
      <c r="O453" s="2047"/>
      <c r="P453" s="2048"/>
      <c r="Q453" s="578"/>
      <c r="R453" s="2052"/>
      <c r="S453" s="2047"/>
      <c r="T453" s="2047"/>
      <c r="U453" s="2047"/>
      <c r="V453" s="2047"/>
      <c r="W453" s="2047"/>
      <c r="X453" s="2047"/>
      <c r="Y453" s="2047"/>
      <c r="Z453" s="2047"/>
      <c r="AA453" s="2047"/>
      <c r="AB453" s="2047"/>
      <c r="AC453" s="2047"/>
      <c r="AD453" s="2047"/>
      <c r="AE453" s="2047"/>
      <c r="AF453" s="2048"/>
    </row>
    <row r="454" spans="2:32" ht="15" customHeight="1">
      <c r="B454" s="2052"/>
      <c r="C454" s="2047"/>
      <c r="D454" s="2047"/>
      <c r="E454" s="2047"/>
      <c r="F454" s="2047"/>
      <c r="G454" s="2047"/>
      <c r="H454" s="2047"/>
      <c r="I454" s="2047"/>
      <c r="J454" s="2047"/>
      <c r="K454" s="2047"/>
      <c r="L454" s="2047"/>
      <c r="M454" s="2047"/>
      <c r="N454" s="2047"/>
      <c r="O454" s="2047"/>
      <c r="P454" s="2048"/>
      <c r="Q454" s="578"/>
      <c r="R454" s="2052"/>
      <c r="S454" s="2047"/>
      <c r="T454" s="2047"/>
      <c r="U454" s="2047"/>
      <c r="V454" s="2047"/>
      <c r="W454" s="2047"/>
      <c r="X454" s="2047"/>
      <c r="Y454" s="2047"/>
      <c r="Z454" s="2047"/>
      <c r="AA454" s="2047"/>
      <c r="AB454" s="2047"/>
      <c r="AC454" s="2047"/>
      <c r="AD454" s="2047"/>
      <c r="AE454" s="2047"/>
      <c r="AF454" s="2048"/>
    </row>
    <row r="455" spans="2:32" ht="15" customHeight="1">
      <c r="B455" s="2052"/>
      <c r="C455" s="2047"/>
      <c r="D455" s="2047"/>
      <c r="E455" s="2047"/>
      <c r="F455" s="2047"/>
      <c r="G455" s="2047"/>
      <c r="H455" s="2047"/>
      <c r="I455" s="2047"/>
      <c r="J455" s="2047"/>
      <c r="K455" s="2047"/>
      <c r="L455" s="2047"/>
      <c r="M455" s="2047"/>
      <c r="N455" s="2047"/>
      <c r="O455" s="2047"/>
      <c r="P455" s="2048"/>
      <c r="Q455" s="578"/>
      <c r="R455" s="2052"/>
      <c r="S455" s="2047"/>
      <c r="T455" s="2047"/>
      <c r="U455" s="2047"/>
      <c r="V455" s="2047"/>
      <c r="W455" s="2047"/>
      <c r="X455" s="2047"/>
      <c r="Y455" s="2047"/>
      <c r="Z455" s="2047"/>
      <c r="AA455" s="2047"/>
      <c r="AB455" s="2047"/>
      <c r="AC455" s="2047"/>
      <c r="AD455" s="2047"/>
      <c r="AE455" s="2047"/>
      <c r="AF455" s="2048"/>
    </row>
    <row r="456" spans="2:32" ht="15" customHeight="1">
      <c r="B456" s="2052"/>
      <c r="C456" s="2047"/>
      <c r="D456" s="2047"/>
      <c r="E456" s="2047"/>
      <c r="F456" s="2047"/>
      <c r="G456" s="2047"/>
      <c r="H456" s="2047"/>
      <c r="I456" s="2047"/>
      <c r="J456" s="2047"/>
      <c r="K456" s="2047"/>
      <c r="L456" s="2047"/>
      <c r="M456" s="2047"/>
      <c r="N456" s="2047"/>
      <c r="O456" s="2047"/>
      <c r="P456" s="2048"/>
      <c r="Q456" s="578"/>
      <c r="R456" s="2052"/>
      <c r="S456" s="2047"/>
      <c r="T456" s="2047"/>
      <c r="U456" s="2047"/>
      <c r="V456" s="2047"/>
      <c r="W456" s="2047"/>
      <c r="X456" s="2047"/>
      <c r="Y456" s="2047"/>
      <c r="Z456" s="2047"/>
      <c r="AA456" s="2047"/>
      <c r="AB456" s="2047"/>
      <c r="AC456" s="2047"/>
      <c r="AD456" s="2047"/>
      <c r="AE456" s="2047"/>
      <c r="AF456" s="2048"/>
    </row>
    <row r="457" spans="2:32" ht="15" customHeight="1">
      <c r="B457" s="2052"/>
      <c r="C457" s="2047"/>
      <c r="D457" s="2047"/>
      <c r="E457" s="2047"/>
      <c r="F457" s="2047"/>
      <c r="G457" s="2047"/>
      <c r="H457" s="2047"/>
      <c r="I457" s="2047"/>
      <c r="J457" s="2047"/>
      <c r="K457" s="2047"/>
      <c r="L457" s="2047"/>
      <c r="M457" s="2047"/>
      <c r="N457" s="2047"/>
      <c r="O457" s="2047"/>
      <c r="P457" s="2048"/>
      <c r="Q457" s="578"/>
      <c r="R457" s="2052"/>
      <c r="S457" s="2047"/>
      <c r="T457" s="2047"/>
      <c r="U457" s="2047"/>
      <c r="V457" s="2047"/>
      <c r="W457" s="2047"/>
      <c r="X457" s="2047"/>
      <c r="Y457" s="2047"/>
      <c r="Z457" s="2047"/>
      <c r="AA457" s="2047"/>
      <c r="AB457" s="2047"/>
      <c r="AC457" s="2047"/>
      <c r="AD457" s="2047"/>
      <c r="AE457" s="2047"/>
      <c r="AF457" s="2048"/>
    </row>
    <row r="458" spans="2:32" ht="15" customHeight="1">
      <c r="B458" s="2052"/>
      <c r="C458" s="2047"/>
      <c r="D458" s="2047"/>
      <c r="E458" s="2047"/>
      <c r="F458" s="2047"/>
      <c r="G458" s="2047"/>
      <c r="H458" s="2047"/>
      <c r="I458" s="2047"/>
      <c r="J458" s="2047"/>
      <c r="K458" s="2047"/>
      <c r="L458" s="2047"/>
      <c r="M458" s="2047"/>
      <c r="N458" s="2047"/>
      <c r="O458" s="2047"/>
      <c r="P458" s="2048"/>
      <c r="Q458" s="578"/>
      <c r="R458" s="2052"/>
      <c r="S458" s="2047"/>
      <c r="T458" s="2047"/>
      <c r="U458" s="2047"/>
      <c r="V458" s="2047"/>
      <c r="W458" s="2047"/>
      <c r="X458" s="2047"/>
      <c r="Y458" s="2047"/>
      <c r="Z458" s="2047"/>
      <c r="AA458" s="2047"/>
      <c r="AB458" s="2047"/>
      <c r="AC458" s="2047"/>
      <c r="AD458" s="2047"/>
      <c r="AE458" s="2047"/>
      <c r="AF458" s="2048"/>
    </row>
    <row r="459" spans="2:32" ht="15" customHeight="1">
      <c r="B459" s="2052"/>
      <c r="C459" s="2047"/>
      <c r="D459" s="2047"/>
      <c r="E459" s="2047"/>
      <c r="F459" s="2047"/>
      <c r="G459" s="2047"/>
      <c r="H459" s="2047"/>
      <c r="I459" s="2047"/>
      <c r="J459" s="2047"/>
      <c r="K459" s="2047"/>
      <c r="L459" s="2047"/>
      <c r="M459" s="2047"/>
      <c r="N459" s="2047"/>
      <c r="O459" s="2047"/>
      <c r="P459" s="2048"/>
      <c r="Q459" s="578"/>
      <c r="R459" s="2052"/>
      <c r="S459" s="2047"/>
      <c r="T459" s="2047"/>
      <c r="U459" s="2047"/>
      <c r="V459" s="2047"/>
      <c r="W459" s="2047"/>
      <c r="X459" s="2047"/>
      <c r="Y459" s="2047"/>
      <c r="Z459" s="2047"/>
      <c r="AA459" s="2047"/>
      <c r="AB459" s="2047"/>
      <c r="AC459" s="2047"/>
      <c r="AD459" s="2047"/>
      <c r="AE459" s="2047"/>
      <c r="AF459" s="2048"/>
    </row>
    <row r="460" spans="2:32" ht="15" customHeight="1">
      <c r="B460" s="2052"/>
      <c r="C460" s="2047"/>
      <c r="D460" s="2047"/>
      <c r="E460" s="2047"/>
      <c r="F460" s="2047"/>
      <c r="G460" s="2047"/>
      <c r="H460" s="2047"/>
      <c r="I460" s="2047"/>
      <c r="J460" s="2047"/>
      <c r="K460" s="2047"/>
      <c r="L460" s="2047"/>
      <c r="M460" s="2047"/>
      <c r="N460" s="2047"/>
      <c r="O460" s="2047"/>
      <c r="P460" s="2048"/>
      <c r="Q460" s="578"/>
      <c r="R460" s="2052"/>
      <c r="S460" s="2047"/>
      <c r="T460" s="2047"/>
      <c r="U460" s="2047"/>
      <c r="V460" s="2047"/>
      <c r="W460" s="2047"/>
      <c r="X460" s="2047"/>
      <c r="Y460" s="2047"/>
      <c r="Z460" s="2047"/>
      <c r="AA460" s="2047"/>
      <c r="AB460" s="2047"/>
      <c r="AC460" s="2047"/>
      <c r="AD460" s="2047"/>
      <c r="AE460" s="2047"/>
      <c r="AF460" s="2048"/>
    </row>
    <row r="461" spans="2:32" ht="15" customHeight="1">
      <c r="B461" s="2053"/>
      <c r="C461" s="2049"/>
      <c r="D461" s="2049"/>
      <c r="E461" s="2049"/>
      <c r="F461" s="2049"/>
      <c r="G461" s="2049"/>
      <c r="H461" s="2049"/>
      <c r="I461" s="2049"/>
      <c r="J461" s="2049"/>
      <c r="K461" s="2049"/>
      <c r="L461" s="2049"/>
      <c r="M461" s="2049"/>
      <c r="N461" s="2049"/>
      <c r="O461" s="2049"/>
      <c r="P461" s="2050"/>
      <c r="Q461" s="578"/>
      <c r="R461" s="2053"/>
      <c r="S461" s="2049"/>
      <c r="T461" s="2049"/>
      <c r="U461" s="2049"/>
      <c r="V461" s="2049"/>
      <c r="W461" s="2049"/>
      <c r="X461" s="2049"/>
      <c r="Y461" s="2049"/>
      <c r="Z461" s="2049"/>
      <c r="AA461" s="2049"/>
      <c r="AB461" s="2049"/>
      <c r="AC461" s="2049"/>
      <c r="AD461" s="2049"/>
      <c r="AE461" s="2049"/>
      <c r="AF461" s="2050"/>
    </row>
    <row r="462" spans="2:32" ht="15" customHeight="1">
      <c r="B462" s="645"/>
      <c r="C462" s="645"/>
      <c r="D462" s="645"/>
      <c r="E462" s="645"/>
      <c r="F462" s="645"/>
      <c r="G462" s="645"/>
      <c r="H462" s="645"/>
      <c r="I462" s="645"/>
      <c r="J462" s="645"/>
      <c r="K462" s="645"/>
      <c r="L462" s="645"/>
      <c r="M462" s="645"/>
      <c r="N462" s="645"/>
      <c r="O462" s="645"/>
      <c r="P462" s="645"/>
      <c r="Q462" s="645"/>
      <c r="R462" s="645"/>
      <c r="S462" s="645"/>
      <c r="T462" s="645"/>
      <c r="U462" s="645"/>
      <c r="V462" s="645"/>
      <c r="W462" s="645"/>
      <c r="X462" s="645"/>
      <c r="Y462" s="645"/>
      <c r="Z462" s="645"/>
      <c r="AA462" s="645"/>
      <c r="AB462" s="645"/>
      <c r="AC462" s="645"/>
      <c r="AD462" s="645"/>
      <c r="AE462" s="645"/>
      <c r="AF462" s="645"/>
    </row>
    <row r="463" spans="2:32" ht="15" customHeight="1">
      <c r="B463" s="2054"/>
      <c r="C463" s="2055"/>
      <c r="D463" s="2055"/>
      <c r="E463" s="2055"/>
      <c r="F463" s="2055"/>
      <c r="G463" s="2055"/>
      <c r="H463" s="2055"/>
      <c r="I463" s="2055"/>
      <c r="J463" s="2055"/>
      <c r="K463" s="2055"/>
      <c r="L463" s="2055"/>
      <c r="M463" s="2055"/>
      <c r="N463" s="2055"/>
      <c r="O463" s="2055"/>
      <c r="P463" s="2056"/>
      <c r="Q463" s="781"/>
      <c r="R463" s="2054"/>
      <c r="S463" s="2055"/>
      <c r="T463" s="2055"/>
      <c r="U463" s="2055"/>
      <c r="V463" s="2055"/>
      <c r="W463" s="2055"/>
      <c r="X463" s="2055"/>
      <c r="Y463" s="2055"/>
      <c r="Z463" s="2055"/>
      <c r="AA463" s="2055"/>
      <c r="AB463" s="2055"/>
      <c r="AC463" s="2055"/>
      <c r="AD463" s="2055"/>
      <c r="AE463" s="2055"/>
      <c r="AF463" s="2056"/>
    </row>
    <row r="464" spans="2:32" ht="15" customHeight="1">
      <c r="B464" s="2057"/>
      <c r="C464" s="2058"/>
      <c r="D464" s="2058"/>
      <c r="E464" s="2058"/>
      <c r="F464" s="2058"/>
      <c r="G464" s="2058"/>
      <c r="H464" s="2058"/>
      <c r="I464" s="2058"/>
      <c r="J464" s="2058"/>
      <c r="K464" s="2058"/>
      <c r="L464" s="2058"/>
      <c r="M464" s="2058"/>
      <c r="N464" s="2058"/>
      <c r="O464" s="2058"/>
      <c r="P464" s="2059"/>
      <c r="Q464" s="781"/>
      <c r="R464" s="2057"/>
      <c r="S464" s="2058"/>
      <c r="T464" s="2058"/>
      <c r="U464" s="2058"/>
      <c r="V464" s="2058"/>
      <c r="W464" s="2058"/>
      <c r="X464" s="2058"/>
      <c r="Y464" s="2058"/>
      <c r="Z464" s="2058"/>
      <c r="AA464" s="2058"/>
      <c r="AB464" s="2058"/>
      <c r="AC464" s="2058"/>
      <c r="AD464" s="2058"/>
      <c r="AE464" s="2058"/>
      <c r="AF464" s="2059"/>
    </row>
    <row r="465" spans="2:67" ht="15" customHeight="1">
      <c r="B465" s="364"/>
      <c r="C465" s="364"/>
      <c r="D465" s="364"/>
      <c r="E465" s="364"/>
      <c r="F465" s="364"/>
      <c r="G465" s="364"/>
      <c r="H465" s="364"/>
      <c r="I465" s="364"/>
      <c r="J465" s="364"/>
      <c r="K465" s="364"/>
      <c r="L465" s="364"/>
      <c r="M465" s="364"/>
      <c r="N465" s="364"/>
      <c r="O465" s="364"/>
      <c r="P465" s="364"/>
      <c r="Q465" s="579"/>
      <c r="R465" s="364"/>
      <c r="S465" s="364"/>
      <c r="T465" s="364"/>
      <c r="U465" s="364"/>
      <c r="V465" s="364"/>
      <c r="W465" s="364"/>
      <c r="X465" s="364"/>
      <c r="Y465" s="364"/>
      <c r="Z465" s="364"/>
      <c r="AA465" s="364"/>
      <c r="AB465" s="364"/>
      <c r="AC465" s="364"/>
      <c r="AD465" s="364"/>
      <c r="AE465" s="364"/>
      <c r="AF465" s="364"/>
    </row>
    <row r="466" spans="2:67" ht="15" customHeight="1">
      <c r="B466" s="364"/>
      <c r="C466" s="364"/>
      <c r="D466" s="364"/>
      <c r="E466" s="364"/>
      <c r="F466" s="364"/>
      <c r="G466" s="364"/>
      <c r="H466" s="364"/>
      <c r="I466" s="364"/>
      <c r="J466" s="364"/>
      <c r="K466" s="364"/>
      <c r="L466" s="364"/>
      <c r="M466" s="364"/>
      <c r="N466" s="364"/>
      <c r="O466" s="364"/>
      <c r="P466" s="364"/>
      <c r="Q466" s="579"/>
      <c r="R466" s="364"/>
      <c r="S466" s="364"/>
      <c r="T466" s="364"/>
      <c r="U466" s="364"/>
      <c r="V466" s="364"/>
      <c r="W466" s="364"/>
      <c r="X466" s="364"/>
      <c r="Y466" s="364"/>
      <c r="Z466" s="364"/>
      <c r="AA466" s="364"/>
      <c r="AB466" s="364"/>
      <c r="AC466" s="364"/>
      <c r="AD466" s="364"/>
      <c r="AE466" s="364"/>
      <c r="AF466" s="364"/>
    </row>
    <row r="467" spans="2:67" ht="15" customHeight="1">
      <c r="B467" s="364"/>
      <c r="C467" s="364"/>
      <c r="D467" s="364"/>
      <c r="E467" s="364"/>
      <c r="F467" s="364"/>
      <c r="G467" s="364"/>
      <c r="H467" s="364"/>
      <c r="I467" s="364"/>
      <c r="J467" s="364"/>
      <c r="K467" s="364"/>
      <c r="L467" s="364"/>
      <c r="M467" s="364"/>
      <c r="N467" s="364"/>
      <c r="O467" s="364"/>
      <c r="P467" s="364"/>
      <c r="Q467" s="579"/>
      <c r="R467" s="364"/>
      <c r="S467" s="364"/>
      <c r="T467" s="364"/>
      <c r="U467" s="364"/>
      <c r="V467" s="364"/>
      <c r="W467" s="364"/>
      <c r="X467" s="364"/>
      <c r="Y467" s="364"/>
      <c r="Z467" s="364"/>
      <c r="AA467" s="364"/>
      <c r="AB467" s="364"/>
      <c r="AC467" s="364"/>
      <c r="AD467" s="364"/>
      <c r="AE467" s="364"/>
      <c r="AF467" s="364"/>
    </row>
    <row r="468" spans="2:67" ht="15" customHeight="1">
      <c r="B468" s="364"/>
      <c r="C468" s="364"/>
      <c r="D468" s="364"/>
      <c r="E468" s="364"/>
      <c r="F468" s="364"/>
      <c r="G468" s="364"/>
      <c r="H468" s="364"/>
      <c r="I468" s="364"/>
      <c r="J468" s="364"/>
      <c r="K468" s="364"/>
      <c r="L468" s="364"/>
      <c r="M468" s="364"/>
      <c r="N468" s="364"/>
      <c r="O468" s="364"/>
      <c r="P468" s="364"/>
      <c r="Q468" s="579"/>
      <c r="R468" s="364"/>
      <c r="S468" s="364"/>
      <c r="T468" s="364"/>
      <c r="U468" s="364"/>
      <c r="V468" s="364"/>
      <c r="W468" s="364"/>
      <c r="X468" s="364"/>
      <c r="Y468" s="364"/>
      <c r="Z468" s="364"/>
      <c r="AA468" s="364"/>
      <c r="AB468" s="364"/>
      <c r="AC468" s="364"/>
      <c r="AD468" s="364"/>
      <c r="AE468" s="364"/>
      <c r="AF468" s="364"/>
    </row>
    <row r="469" spans="2:67" ht="15" customHeight="1" thickBot="1">
      <c r="B469" s="645"/>
      <c r="C469" s="645"/>
      <c r="D469" s="645"/>
      <c r="E469" s="645"/>
      <c r="F469" s="645"/>
      <c r="G469" s="645"/>
      <c r="H469" s="645"/>
      <c r="I469" s="645"/>
      <c r="J469" s="645"/>
      <c r="K469" s="645"/>
      <c r="L469" s="645"/>
      <c r="M469" s="645"/>
      <c r="N469" s="645"/>
      <c r="O469" s="645"/>
      <c r="P469" s="645"/>
      <c r="Q469" s="645"/>
      <c r="R469" s="645"/>
      <c r="S469" s="645"/>
      <c r="T469" s="645"/>
      <c r="U469" s="645"/>
      <c r="V469" s="645"/>
      <c r="W469" s="645"/>
      <c r="X469" s="645"/>
      <c r="Y469" s="645"/>
      <c r="Z469" s="645"/>
      <c r="AA469" s="645"/>
      <c r="AB469" s="645"/>
      <c r="AC469" s="581"/>
      <c r="AD469" s="645"/>
      <c r="AE469" s="645"/>
      <c r="AF469" s="645"/>
    </row>
    <row r="470" spans="2:67" s="3" customFormat="1" ht="24.95" customHeight="1" thickTop="1">
      <c r="B470" s="2066" t="str">
        <f>$B$76</f>
        <v>Execução das Obras de Macrodrenagem das Ruas Ceciliano Abel de Almeida e Lourenço Sales</v>
      </c>
      <c r="C470" s="2066"/>
      <c r="D470" s="2066"/>
      <c r="E470" s="2066"/>
      <c r="F470" s="2066"/>
      <c r="G470" s="2066"/>
      <c r="H470" s="2066"/>
      <c r="I470" s="2066"/>
      <c r="J470" s="2066"/>
      <c r="K470" s="2066"/>
      <c r="L470" s="2066"/>
      <c r="M470" s="2066"/>
      <c r="N470" s="2066"/>
      <c r="O470" s="2066"/>
      <c r="P470" s="2066"/>
      <c r="Q470" s="2066"/>
      <c r="R470" s="2066"/>
      <c r="S470" s="2066"/>
      <c r="T470" s="2066"/>
      <c r="U470" s="2066"/>
      <c r="V470" s="2066"/>
      <c r="W470" s="2066"/>
      <c r="X470" s="2066"/>
      <c r="Y470" s="2066"/>
      <c r="Z470" s="713"/>
      <c r="AA470" s="713"/>
      <c r="AB470" s="713"/>
      <c r="AC470" s="2067"/>
      <c r="AD470" s="2068"/>
      <c r="AE470" s="2068"/>
      <c r="AF470" s="2068"/>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row>
    <row r="471" spans="2:67" s="349" customFormat="1" ht="20.100000000000001" customHeight="1" thickBot="1">
      <c r="B471" s="2078"/>
      <c r="C471" s="2078"/>
      <c r="D471" s="2078"/>
      <c r="E471" s="2078"/>
      <c r="F471" s="2078"/>
      <c r="G471" s="2078"/>
      <c r="H471" s="2078"/>
      <c r="I471" s="2078"/>
      <c r="J471" s="2078"/>
      <c r="K471" s="2078"/>
      <c r="L471" s="2078"/>
      <c r="M471" s="2078"/>
      <c r="N471" s="2078"/>
      <c r="O471" s="2078"/>
      <c r="P471" s="2078"/>
      <c r="Q471" s="2078"/>
      <c r="R471" s="2078"/>
      <c r="S471" s="2078"/>
      <c r="T471" s="2078"/>
      <c r="U471" s="2078"/>
      <c r="V471" s="2078"/>
      <c r="W471" s="2078"/>
      <c r="X471" s="2078"/>
      <c r="Y471" s="368"/>
      <c r="Z471" s="2079"/>
      <c r="AA471" s="2079"/>
      <c r="AB471" s="2079"/>
      <c r="AC471" s="2079"/>
      <c r="AD471" s="2079"/>
      <c r="AE471" s="2079"/>
      <c r="AF471" s="2079"/>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row>
    <row r="472" spans="2:67" ht="15" customHeight="1" thickTop="1">
      <c r="B472" s="645"/>
      <c r="C472" s="645"/>
      <c r="D472" s="645"/>
      <c r="E472" s="645"/>
      <c r="F472" s="645"/>
      <c r="G472" s="645"/>
      <c r="H472" s="645"/>
      <c r="I472" s="645"/>
      <c r="J472" s="645"/>
      <c r="K472" s="645"/>
      <c r="L472" s="645"/>
      <c r="M472" s="645"/>
      <c r="N472" s="645"/>
      <c r="O472" s="645"/>
      <c r="P472" s="645"/>
      <c r="Q472" s="645"/>
      <c r="R472" s="645"/>
      <c r="S472" s="645"/>
      <c r="T472" s="645"/>
      <c r="U472" s="645"/>
      <c r="V472" s="645"/>
      <c r="W472" s="645"/>
      <c r="X472" s="645"/>
      <c r="Y472" s="645"/>
      <c r="Z472" s="645"/>
      <c r="AA472" s="645"/>
      <c r="AB472" s="645"/>
      <c r="AC472" s="645"/>
      <c r="AD472" s="645"/>
      <c r="AE472" s="645"/>
      <c r="AF472" s="645"/>
    </row>
    <row r="473" spans="2:67" ht="15" customHeight="1">
      <c r="B473" s="2060"/>
      <c r="C473" s="2060"/>
      <c r="D473" s="2060"/>
      <c r="E473" s="2060"/>
      <c r="F473" s="2060"/>
      <c r="G473" s="2060"/>
      <c r="H473" s="2060"/>
      <c r="I473" s="2060"/>
      <c r="J473" s="2060"/>
      <c r="K473" s="2060"/>
      <c r="L473" s="2060"/>
      <c r="M473" s="2060"/>
      <c r="N473" s="2060"/>
      <c r="O473" s="2060"/>
      <c r="P473" s="2060"/>
      <c r="Q473" s="2060"/>
      <c r="R473" s="2060"/>
      <c r="S473" s="2060"/>
      <c r="T473" s="2060"/>
      <c r="U473" s="2060"/>
      <c r="V473" s="2060"/>
      <c r="W473" s="2060"/>
      <c r="X473" s="2060"/>
      <c r="Y473" s="2060"/>
      <c r="Z473" s="2060"/>
      <c r="AA473" s="2060"/>
      <c r="AB473" s="2060"/>
      <c r="AC473" s="2060"/>
      <c r="AD473" s="2060"/>
      <c r="AE473" s="2060"/>
      <c r="AF473" s="2060"/>
    </row>
    <row r="474" spans="2:67" ht="15" customHeight="1">
      <c r="B474" s="2061"/>
      <c r="C474" s="2061"/>
      <c r="D474" s="2061"/>
      <c r="E474" s="2061"/>
      <c r="F474" s="2061"/>
      <c r="G474" s="2061"/>
      <c r="H474" s="2061"/>
      <c r="I474" s="2061"/>
      <c r="J474" s="2061"/>
      <c r="K474" s="2061"/>
      <c r="L474" s="2061"/>
      <c r="M474" s="2061"/>
      <c r="N474" s="2061"/>
      <c r="O474" s="2061"/>
      <c r="P474" s="2061"/>
      <c r="Q474" s="2061"/>
      <c r="R474" s="2061"/>
      <c r="S474" s="2061"/>
      <c r="T474" s="2061"/>
      <c r="U474" s="2061"/>
      <c r="V474" s="2061"/>
      <c r="W474" s="2061"/>
      <c r="X474" s="2061"/>
      <c r="Y474" s="2061"/>
      <c r="Z474" s="2061"/>
      <c r="AA474" s="2061"/>
      <c r="AB474" s="2061"/>
      <c r="AC474" s="2061"/>
      <c r="AD474" s="2061"/>
      <c r="AE474" s="2061"/>
      <c r="AF474" s="2061"/>
    </row>
    <row r="475" spans="2:67" ht="15" customHeight="1">
      <c r="B475" s="365"/>
      <c r="C475" s="365"/>
      <c r="D475" s="365"/>
      <c r="E475" s="365"/>
      <c r="F475" s="365"/>
      <c r="G475" s="365"/>
      <c r="H475" s="365"/>
      <c r="I475" s="365"/>
      <c r="J475" s="365"/>
      <c r="K475" s="365"/>
      <c r="L475" s="365"/>
      <c r="M475" s="365"/>
      <c r="N475" s="365"/>
      <c r="O475" s="365"/>
      <c r="P475" s="365"/>
      <c r="Q475" s="365"/>
      <c r="R475" s="365"/>
      <c r="S475" s="365"/>
      <c r="T475" s="365"/>
      <c r="U475" s="365"/>
      <c r="V475" s="365"/>
      <c r="W475" s="365"/>
      <c r="X475" s="365"/>
      <c r="Y475" s="365"/>
      <c r="Z475" s="365"/>
      <c r="AA475" s="365"/>
      <c r="AB475" s="365"/>
      <c r="AC475" s="365"/>
      <c r="AD475" s="365"/>
      <c r="AE475" s="365"/>
      <c r="AF475" s="365"/>
    </row>
    <row r="476" spans="2:67" ht="15" customHeight="1">
      <c r="B476" s="365"/>
      <c r="C476" s="365"/>
      <c r="D476" s="365"/>
      <c r="E476" s="365"/>
      <c r="F476" s="365"/>
      <c r="G476" s="365"/>
      <c r="H476" s="365"/>
      <c r="I476" s="365"/>
      <c r="J476" s="365"/>
      <c r="K476" s="365"/>
      <c r="L476" s="365"/>
      <c r="M476" s="365"/>
      <c r="N476" s="365"/>
      <c r="O476" s="365"/>
      <c r="P476" s="365"/>
      <c r="Q476" s="365"/>
      <c r="R476" s="365"/>
      <c r="S476" s="365"/>
      <c r="T476" s="365"/>
      <c r="U476" s="365"/>
      <c r="V476" s="365"/>
      <c r="W476" s="365"/>
      <c r="X476" s="365"/>
      <c r="Y476" s="365"/>
      <c r="Z476" s="365"/>
      <c r="AA476" s="365"/>
      <c r="AB476" s="365"/>
      <c r="AC476" s="365"/>
      <c r="AD476" s="365"/>
      <c r="AE476" s="365"/>
      <c r="AF476" s="365"/>
    </row>
    <row r="477" spans="2:67" ht="15" customHeight="1">
      <c r="B477" s="365"/>
      <c r="C477" s="365"/>
      <c r="D477" s="365"/>
      <c r="E477" s="365"/>
      <c r="F477" s="365"/>
      <c r="G477" s="365"/>
      <c r="H477" s="365"/>
      <c r="I477" s="365"/>
      <c r="J477" s="365"/>
      <c r="K477" s="365"/>
      <c r="L477" s="365"/>
      <c r="M477" s="365"/>
      <c r="N477" s="365"/>
      <c r="O477" s="365"/>
      <c r="P477" s="365"/>
      <c r="Q477" s="365"/>
      <c r="R477" s="365"/>
      <c r="S477" s="365"/>
      <c r="T477" s="365"/>
      <c r="U477" s="365"/>
      <c r="V477" s="365"/>
      <c r="W477" s="365"/>
      <c r="X477" s="365"/>
      <c r="Y477" s="365"/>
      <c r="Z477" s="365"/>
      <c r="AA477" s="365"/>
      <c r="AB477" s="365"/>
      <c r="AC477" s="365"/>
      <c r="AD477" s="365"/>
      <c r="AE477" s="365"/>
      <c r="AF477" s="365"/>
    </row>
    <row r="478" spans="2:67" ht="15" customHeight="1">
      <c r="B478" s="645"/>
      <c r="C478" s="645"/>
      <c r="D478" s="645"/>
      <c r="E478" s="645"/>
      <c r="F478" s="645"/>
      <c r="G478" s="645"/>
      <c r="H478" s="645"/>
      <c r="I478" s="645"/>
      <c r="J478" s="645"/>
      <c r="K478" s="645"/>
      <c r="L478" s="645"/>
      <c r="M478" s="645"/>
      <c r="N478" s="645"/>
      <c r="O478" s="645"/>
      <c r="P478" s="645"/>
      <c r="Q478" s="645"/>
      <c r="R478" s="645"/>
      <c r="S478" s="645"/>
      <c r="T478" s="645"/>
      <c r="U478" s="645"/>
      <c r="V478" s="645"/>
      <c r="W478" s="645"/>
      <c r="X478" s="645"/>
      <c r="Y478" s="645"/>
      <c r="Z478" s="645"/>
      <c r="AA478" s="645"/>
      <c r="AB478" s="645"/>
      <c r="AC478" s="645"/>
      <c r="AD478" s="645"/>
      <c r="AE478" s="645"/>
      <c r="AF478" s="645"/>
    </row>
    <row r="479" spans="2:67" ht="15" customHeight="1">
      <c r="B479" s="2044"/>
      <c r="C479" s="2045"/>
      <c r="D479" s="2045"/>
      <c r="E479" s="2045"/>
      <c r="F479" s="2045"/>
      <c r="G479" s="2045"/>
      <c r="H479" s="2045"/>
      <c r="I479" s="2045"/>
      <c r="J479" s="2045"/>
      <c r="K479" s="2045"/>
      <c r="L479" s="2045"/>
      <c r="M479" s="2045"/>
      <c r="N479" s="2045"/>
      <c r="O479" s="2045"/>
      <c r="P479" s="2046"/>
      <c r="Q479" s="578"/>
      <c r="R479" s="2051"/>
      <c r="S479" s="2045"/>
      <c r="T479" s="2045"/>
      <c r="U479" s="2045"/>
      <c r="V479" s="2045"/>
      <c r="W479" s="2045"/>
      <c r="X479" s="2045"/>
      <c r="Y479" s="2045"/>
      <c r="Z479" s="2045"/>
      <c r="AA479" s="2045"/>
      <c r="AB479" s="2045"/>
      <c r="AC479" s="2045"/>
      <c r="AD479" s="2045"/>
      <c r="AE479" s="2045"/>
      <c r="AF479" s="2045"/>
    </row>
    <row r="480" spans="2:67" ht="15" customHeight="1">
      <c r="B480" s="2047"/>
      <c r="C480" s="2047"/>
      <c r="D480" s="2047"/>
      <c r="E480" s="2047"/>
      <c r="F480" s="2047"/>
      <c r="G480" s="2047"/>
      <c r="H480" s="2047"/>
      <c r="I480" s="2047"/>
      <c r="J480" s="2047"/>
      <c r="K480" s="2047"/>
      <c r="L480" s="2047"/>
      <c r="M480" s="2047"/>
      <c r="N480" s="2047"/>
      <c r="O480" s="2047"/>
      <c r="P480" s="2048"/>
      <c r="Q480" s="578"/>
      <c r="R480" s="2052"/>
      <c r="S480" s="2047"/>
      <c r="T480" s="2047"/>
      <c r="U480" s="2047"/>
      <c r="V480" s="2047"/>
      <c r="W480" s="2047"/>
      <c r="X480" s="2047"/>
      <c r="Y480" s="2047"/>
      <c r="Z480" s="2047"/>
      <c r="AA480" s="2047"/>
      <c r="AB480" s="2047"/>
      <c r="AC480" s="2047"/>
      <c r="AD480" s="2047"/>
      <c r="AE480" s="2047"/>
      <c r="AF480" s="2047"/>
    </row>
    <row r="481" spans="2:32" ht="15" customHeight="1">
      <c r="B481" s="2047"/>
      <c r="C481" s="2047"/>
      <c r="D481" s="2047"/>
      <c r="E481" s="2047"/>
      <c r="F481" s="2047"/>
      <c r="G481" s="2047"/>
      <c r="H481" s="2047"/>
      <c r="I481" s="2047"/>
      <c r="J481" s="2047"/>
      <c r="K481" s="2047"/>
      <c r="L481" s="2047"/>
      <c r="M481" s="2047"/>
      <c r="N481" s="2047"/>
      <c r="O481" s="2047"/>
      <c r="P481" s="2048"/>
      <c r="Q481" s="578"/>
      <c r="R481" s="2052"/>
      <c r="S481" s="2047"/>
      <c r="T481" s="2047"/>
      <c r="U481" s="2047"/>
      <c r="V481" s="2047"/>
      <c r="W481" s="2047"/>
      <c r="X481" s="2047"/>
      <c r="Y481" s="2047"/>
      <c r="Z481" s="2047"/>
      <c r="AA481" s="2047"/>
      <c r="AB481" s="2047"/>
      <c r="AC481" s="2047"/>
      <c r="AD481" s="2047"/>
      <c r="AE481" s="2047"/>
      <c r="AF481" s="2047"/>
    </row>
    <row r="482" spans="2:32" ht="15" customHeight="1">
      <c r="B482" s="2047"/>
      <c r="C482" s="2047"/>
      <c r="D482" s="2047"/>
      <c r="E482" s="2047"/>
      <c r="F482" s="2047"/>
      <c r="G482" s="2047"/>
      <c r="H482" s="2047"/>
      <c r="I482" s="2047"/>
      <c r="J482" s="2047"/>
      <c r="K482" s="2047"/>
      <c r="L482" s="2047"/>
      <c r="M482" s="2047"/>
      <c r="N482" s="2047"/>
      <c r="O482" s="2047"/>
      <c r="P482" s="2048"/>
      <c r="Q482" s="578"/>
      <c r="R482" s="2052"/>
      <c r="S482" s="2047"/>
      <c r="T482" s="2047"/>
      <c r="U482" s="2047"/>
      <c r="V482" s="2047"/>
      <c r="W482" s="2047"/>
      <c r="X482" s="2047"/>
      <c r="Y482" s="2047"/>
      <c r="Z482" s="2047"/>
      <c r="AA482" s="2047"/>
      <c r="AB482" s="2047"/>
      <c r="AC482" s="2047"/>
      <c r="AD482" s="2047"/>
      <c r="AE482" s="2047"/>
      <c r="AF482" s="2047"/>
    </row>
    <row r="483" spans="2:32" ht="15" customHeight="1">
      <c r="B483" s="2047"/>
      <c r="C483" s="2047"/>
      <c r="D483" s="2047"/>
      <c r="E483" s="2047"/>
      <c r="F483" s="2047"/>
      <c r="G483" s="2047"/>
      <c r="H483" s="2047"/>
      <c r="I483" s="2047"/>
      <c r="J483" s="2047"/>
      <c r="K483" s="2047"/>
      <c r="L483" s="2047"/>
      <c r="M483" s="2047"/>
      <c r="N483" s="2047"/>
      <c r="O483" s="2047"/>
      <c r="P483" s="2048"/>
      <c r="Q483" s="578"/>
      <c r="R483" s="2052"/>
      <c r="S483" s="2047"/>
      <c r="T483" s="2047"/>
      <c r="U483" s="2047"/>
      <c r="V483" s="2047"/>
      <c r="W483" s="2047"/>
      <c r="X483" s="2047"/>
      <c r="Y483" s="2047"/>
      <c r="Z483" s="2047"/>
      <c r="AA483" s="2047"/>
      <c r="AB483" s="2047"/>
      <c r="AC483" s="2047"/>
      <c r="AD483" s="2047"/>
      <c r="AE483" s="2047"/>
      <c r="AF483" s="2047"/>
    </row>
    <row r="484" spans="2:32" ht="15" customHeight="1">
      <c r="B484" s="2047"/>
      <c r="C484" s="2047"/>
      <c r="D484" s="2047"/>
      <c r="E484" s="2047"/>
      <c r="F484" s="2047"/>
      <c r="G484" s="2047"/>
      <c r="H484" s="2047"/>
      <c r="I484" s="2047"/>
      <c r="J484" s="2047"/>
      <c r="K484" s="2047"/>
      <c r="L484" s="2047"/>
      <c r="M484" s="2047"/>
      <c r="N484" s="2047"/>
      <c r="O484" s="2047"/>
      <c r="P484" s="2048"/>
      <c r="Q484" s="578"/>
      <c r="R484" s="2052"/>
      <c r="S484" s="2047"/>
      <c r="T484" s="2047"/>
      <c r="U484" s="2047"/>
      <c r="V484" s="2047"/>
      <c r="W484" s="2047"/>
      <c r="X484" s="2047"/>
      <c r="Y484" s="2047"/>
      <c r="Z484" s="2047"/>
      <c r="AA484" s="2047"/>
      <c r="AB484" s="2047"/>
      <c r="AC484" s="2047"/>
      <c r="AD484" s="2047"/>
      <c r="AE484" s="2047"/>
      <c r="AF484" s="2047"/>
    </row>
    <row r="485" spans="2:32" ht="15" customHeight="1">
      <c r="B485" s="2047"/>
      <c r="C485" s="2047"/>
      <c r="D485" s="2047"/>
      <c r="E485" s="2047"/>
      <c r="F485" s="2047"/>
      <c r="G485" s="2047"/>
      <c r="H485" s="2047"/>
      <c r="I485" s="2047"/>
      <c r="J485" s="2047"/>
      <c r="K485" s="2047"/>
      <c r="L485" s="2047"/>
      <c r="M485" s="2047"/>
      <c r="N485" s="2047"/>
      <c r="O485" s="2047"/>
      <c r="P485" s="2048"/>
      <c r="Q485" s="578"/>
      <c r="R485" s="2052"/>
      <c r="S485" s="2047"/>
      <c r="T485" s="2047"/>
      <c r="U485" s="2047"/>
      <c r="V485" s="2047"/>
      <c r="W485" s="2047"/>
      <c r="X485" s="2047"/>
      <c r="Y485" s="2047"/>
      <c r="Z485" s="2047"/>
      <c r="AA485" s="2047"/>
      <c r="AB485" s="2047"/>
      <c r="AC485" s="2047"/>
      <c r="AD485" s="2047"/>
      <c r="AE485" s="2047"/>
      <c r="AF485" s="2047"/>
    </row>
    <row r="486" spans="2:32" ht="15" customHeight="1">
      <c r="B486" s="2047"/>
      <c r="C486" s="2047"/>
      <c r="D486" s="2047"/>
      <c r="E486" s="2047"/>
      <c r="F486" s="2047"/>
      <c r="G486" s="2047"/>
      <c r="H486" s="2047"/>
      <c r="I486" s="2047"/>
      <c r="J486" s="2047"/>
      <c r="K486" s="2047"/>
      <c r="L486" s="2047"/>
      <c r="M486" s="2047"/>
      <c r="N486" s="2047"/>
      <c r="O486" s="2047"/>
      <c r="P486" s="2048"/>
      <c r="Q486" s="578"/>
      <c r="R486" s="2052"/>
      <c r="S486" s="2047"/>
      <c r="T486" s="2047"/>
      <c r="U486" s="2047"/>
      <c r="V486" s="2047"/>
      <c r="W486" s="2047"/>
      <c r="X486" s="2047"/>
      <c r="Y486" s="2047"/>
      <c r="Z486" s="2047"/>
      <c r="AA486" s="2047"/>
      <c r="AB486" s="2047"/>
      <c r="AC486" s="2047"/>
      <c r="AD486" s="2047"/>
      <c r="AE486" s="2047"/>
      <c r="AF486" s="2047"/>
    </row>
    <row r="487" spans="2:32" ht="15" customHeight="1">
      <c r="B487" s="2047"/>
      <c r="C487" s="2047"/>
      <c r="D487" s="2047"/>
      <c r="E487" s="2047"/>
      <c r="F487" s="2047"/>
      <c r="G487" s="2047"/>
      <c r="H487" s="2047"/>
      <c r="I487" s="2047"/>
      <c r="J487" s="2047"/>
      <c r="K487" s="2047"/>
      <c r="L487" s="2047"/>
      <c r="M487" s="2047"/>
      <c r="N487" s="2047"/>
      <c r="O487" s="2047"/>
      <c r="P487" s="2048"/>
      <c r="Q487" s="578"/>
      <c r="R487" s="2052"/>
      <c r="S487" s="2047"/>
      <c r="T487" s="2047"/>
      <c r="U487" s="2047"/>
      <c r="V487" s="2047"/>
      <c r="W487" s="2047"/>
      <c r="X487" s="2047"/>
      <c r="Y487" s="2047"/>
      <c r="Z487" s="2047"/>
      <c r="AA487" s="2047"/>
      <c r="AB487" s="2047"/>
      <c r="AC487" s="2047"/>
      <c r="AD487" s="2047"/>
      <c r="AE487" s="2047"/>
      <c r="AF487" s="2047"/>
    </row>
    <row r="488" spans="2:32" ht="15" customHeight="1">
      <c r="B488" s="2047"/>
      <c r="C488" s="2047"/>
      <c r="D488" s="2047"/>
      <c r="E488" s="2047"/>
      <c r="F488" s="2047"/>
      <c r="G488" s="2047"/>
      <c r="H488" s="2047"/>
      <c r="I488" s="2047"/>
      <c r="J488" s="2047"/>
      <c r="K488" s="2047"/>
      <c r="L488" s="2047"/>
      <c r="M488" s="2047"/>
      <c r="N488" s="2047"/>
      <c r="O488" s="2047"/>
      <c r="P488" s="2048"/>
      <c r="Q488" s="578"/>
      <c r="R488" s="2052"/>
      <c r="S488" s="2047"/>
      <c r="T488" s="2047"/>
      <c r="U488" s="2047"/>
      <c r="V488" s="2047"/>
      <c r="W488" s="2047"/>
      <c r="X488" s="2047"/>
      <c r="Y488" s="2047"/>
      <c r="Z488" s="2047"/>
      <c r="AA488" s="2047"/>
      <c r="AB488" s="2047"/>
      <c r="AC488" s="2047"/>
      <c r="AD488" s="2047"/>
      <c r="AE488" s="2047"/>
      <c r="AF488" s="2047"/>
    </row>
    <row r="489" spans="2:32" ht="15" customHeight="1">
      <c r="B489" s="2047"/>
      <c r="C489" s="2047"/>
      <c r="D489" s="2047"/>
      <c r="E489" s="2047"/>
      <c r="F489" s="2047"/>
      <c r="G489" s="2047"/>
      <c r="H489" s="2047"/>
      <c r="I489" s="2047"/>
      <c r="J489" s="2047"/>
      <c r="K489" s="2047"/>
      <c r="L489" s="2047"/>
      <c r="M489" s="2047"/>
      <c r="N489" s="2047"/>
      <c r="O489" s="2047"/>
      <c r="P489" s="2048"/>
      <c r="Q489" s="578"/>
      <c r="R489" s="2052"/>
      <c r="S489" s="2047"/>
      <c r="T489" s="2047"/>
      <c r="U489" s="2047"/>
      <c r="V489" s="2047"/>
      <c r="W489" s="2047"/>
      <c r="X489" s="2047"/>
      <c r="Y489" s="2047"/>
      <c r="Z489" s="2047"/>
      <c r="AA489" s="2047"/>
      <c r="AB489" s="2047"/>
      <c r="AC489" s="2047"/>
      <c r="AD489" s="2047"/>
      <c r="AE489" s="2047"/>
      <c r="AF489" s="2047"/>
    </row>
    <row r="490" spans="2:32" ht="15" customHeight="1">
      <c r="B490" s="2049"/>
      <c r="C490" s="2049"/>
      <c r="D490" s="2049"/>
      <c r="E490" s="2049"/>
      <c r="F490" s="2049"/>
      <c r="G490" s="2049"/>
      <c r="H490" s="2049"/>
      <c r="I490" s="2049"/>
      <c r="J490" s="2049"/>
      <c r="K490" s="2049"/>
      <c r="L490" s="2049"/>
      <c r="M490" s="2049"/>
      <c r="N490" s="2049"/>
      <c r="O490" s="2049"/>
      <c r="P490" s="2050"/>
      <c r="Q490" s="578"/>
      <c r="R490" s="2053"/>
      <c r="S490" s="2049"/>
      <c r="T490" s="2049"/>
      <c r="U490" s="2049"/>
      <c r="V490" s="2049"/>
      <c r="W490" s="2049"/>
      <c r="X490" s="2049"/>
      <c r="Y490" s="2049"/>
      <c r="Z490" s="2049"/>
      <c r="AA490" s="2049"/>
      <c r="AB490" s="2049"/>
      <c r="AC490" s="2049"/>
      <c r="AD490" s="2049"/>
      <c r="AE490" s="2049"/>
      <c r="AF490" s="2049"/>
    </row>
    <row r="491" spans="2:32" ht="15" customHeight="1">
      <c r="B491" s="645"/>
      <c r="C491" s="645"/>
      <c r="D491" s="645"/>
      <c r="E491" s="645"/>
      <c r="F491" s="645"/>
      <c r="G491" s="645"/>
      <c r="H491" s="645"/>
      <c r="I491" s="645"/>
      <c r="J491" s="645"/>
      <c r="K491" s="645"/>
      <c r="L491" s="645"/>
      <c r="M491" s="645"/>
      <c r="N491" s="645"/>
      <c r="O491" s="645"/>
      <c r="P491" s="645"/>
      <c r="Q491" s="645"/>
      <c r="R491" s="645"/>
      <c r="S491" s="645"/>
      <c r="T491" s="645"/>
      <c r="U491" s="645"/>
      <c r="V491" s="645"/>
      <c r="W491" s="645"/>
      <c r="X491" s="645"/>
      <c r="Y491" s="645"/>
      <c r="Z491" s="645"/>
      <c r="AA491" s="645"/>
      <c r="AB491" s="645"/>
      <c r="AC491" s="645"/>
      <c r="AD491" s="645"/>
      <c r="AE491" s="645"/>
      <c r="AF491" s="645"/>
    </row>
    <row r="492" spans="2:32" ht="15" customHeight="1">
      <c r="B492" s="2054" t="s">
        <v>575</v>
      </c>
      <c r="C492" s="2055"/>
      <c r="D492" s="2055"/>
      <c r="E492" s="2055"/>
      <c r="F492" s="2055"/>
      <c r="G492" s="2055"/>
      <c r="H492" s="2055"/>
      <c r="I492" s="2055"/>
      <c r="J492" s="2055"/>
      <c r="K492" s="2055"/>
      <c r="L492" s="2055"/>
      <c r="M492" s="2055"/>
      <c r="N492" s="2055"/>
      <c r="O492" s="2055"/>
      <c r="P492" s="2056"/>
      <c r="Q492" s="580"/>
      <c r="R492" s="2054" t="s">
        <v>576</v>
      </c>
      <c r="S492" s="2055"/>
      <c r="T492" s="2055"/>
      <c r="U492" s="2055"/>
      <c r="V492" s="2055"/>
      <c r="W492" s="2055"/>
      <c r="X492" s="2055"/>
      <c r="Y492" s="2055"/>
      <c r="Z492" s="2055"/>
      <c r="AA492" s="2055"/>
      <c r="AB492" s="2055"/>
      <c r="AC492" s="2055"/>
      <c r="AD492" s="2055"/>
      <c r="AE492" s="2055"/>
      <c r="AF492" s="2056"/>
    </row>
    <row r="493" spans="2:32" ht="15" customHeight="1">
      <c r="B493" s="2057"/>
      <c r="C493" s="2058"/>
      <c r="D493" s="2058"/>
      <c r="E493" s="2058"/>
      <c r="F493" s="2058"/>
      <c r="G493" s="2058"/>
      <c r="H493" s="2058"/>
      <c r="I493" s="2058"/>
      <c r="J493" s="2058"/>
      <c r="K493" s="2058"/>
      <c r="L493" s="2058"/>
      <c r="M493" s="2058"/>
      <c r="N493" s="2058"/>
      <c r="O493" s="2058"/>
      <c r="P493" s="2059"/>
      <c r="Q493" s="580"/>
      <c r="R493" s="2057"/>
      <c r="S493" s="2058"/>
      <c r="T493" s="2058"/>
      <c r="U493" s="2058"/>
      <c r="V493" s="2058"/>
      <c r="W493" s="2058"/>
      <c r="X493" s="2058"/>
      <c r="Y493" s="2058"/>
      <c r="Z493" s="2058"/>
      <c r="AA493" s="2058"/>
      <c r="AB493" s="2058"/>
      <c r="AC493" s="2058"/>
      <c r="AD493" s="2058"/>
      <c r="AE493" s="2058"/>
      <c r="AF493" s="2059"/>
    </row>
    <row r="494" spans="2:32" ht="15" customHeight="1">
      <c r="B494" s="364"/>
      <c r="C494" s="364"/>
      <c r="D494" s="364"/>
      <c r="E494" s="364"/>
      <c r="F494" s="364"/>
      <c r="G494" s="364"/>
      <c r="H494" s="364"/>
      <c r="I494" s="364"/>
      <c r="J494" s="364"/>
      <c r="K494" s="364"/>
      <c r="L494" s="364"/>
      <c r="M494" s="364"/>
      <c r="N494" s="364"/>
      <c r="O494" s="364"/>
      <c r="P494" s="364"/>
      <c r="Q494" s="579"/>
      <c r="R494" s="364"/>
      <c r="S494" s="364"/>
      <c r="T494" s="364"/>
      <c r="U494" s="364"/>
      <c r="V494" s="364"/>
      <c r="W494" s="364"/>
      <c r="X494" s="364"/>
      <c r="Y494" s="364"/>
      <c r="Z494" s="364"/>
      <c r="AA494" s="364"/>
      <c r="AB494" s="364"/>
      <c r="AC494" s="364"/>
      <c r="AD494" s="364"/>
      <c r="AE494" s="364"/>
      <c r="AF494" s="364"/>
    </row>
    <row r="495" spans="2:32" ht="15" customHeight="1">
      <c r="B495" s="364"/>
      <c r="C495" s="364"/>
      <c r="D495" s="364"/>
      <c r="E495" s="364"/>
      <c r="F495" s="364"/>
      <c r="G495" s="364"/>
      <c r="H495" s="364"/>
      <c r="I495" s="364"/>
      <c r="J495" s="364"/>
      <c r="K495" s="364"/>
      <c r="L495" s="364"/>
      <c r="M495" s="364"/>
      <c r="N495" s="364"/>
      <c r="O495" s="364"/>
      <c r="P495" s="364"/>
      <c r="Q495" s="579"/>
      <c r="R495" s="364"/>
      <c r="S495" s="364"/>
      <c r="T495" s="364"/>
      <c r="U495" s="364"/>
      <c r="V495" s="364"/>
      <c r="W495" s="364"/>
      <c r="X495" s="364"/>
      <c r="Y495" s="364"/>
      <c r="Z495" s="364"/>
      <c r="AA495" s="364"/>
      <c r="AB495" s="364"/>
      <c r="AC495" s="364"/>
      <c r="AD495" s="364"/>
      <c r="AE495" s="364"/>
      <c r="AF495" s="364"/>
    </row>
    <row r="496" spans="2:32" ht="15" customHeight="1">
      <c r="B496" s="364"/>
      <c r="C496" s="364"/>
      <c r="D496" s="364"/>
      <c r="E496" s="364"/>
      <c r="F496" s="364"/>
      <c r="G496" s="364"/>
      <c r="H496" s="364"/>
      <c r="I496" s="364"/>
      <c r="J496" s="364"/>
      <c r="K496" s="364"/>
      <c r="L496" s="364"/>
      <c r="M496" s="364"/>
      <c r="N496" s="364"/>
      <c r="O496" s="364"/>
      <c r="P496" s="364"/>
      <c r="Q496" s="579"/>
      <c r="R496" s="364"/>
      <c r="S496" s="364"/>
      <c r="T496" s="364"/>
      <c r="U496" s="364"/>
      <c r="V496" s="364"/>
      <c r="W496" s="364"/>
      <c r="X496" s="364"/>
      <c r="Y496" s="364"/>
      <c r="Z496" s="364"/>
      <c r="AA496" s="364"/>
      <c r="AB496" s="364"/>
      <c r="AC496" s="364"/>
      <c r="AD496" s="364"/>
      <c r="AE496" s="364"/>
      <c r="AF496" s="364"/>
    </row>
    <row r="497" spans="2:32" ht="15" customHeight="1">
      <c r="B497" s="645"/>
      <c r="C497" s="645"/>
      <c r="D497" s="645"/>
      <c r="E497" s="645"/>
      <c r="F497" s="645"/>
      <c r="G497" s="645"/>
      <c r="H497" s="645"/>
      <c r="I497" s="645"/>
      <c r="J497" s="645"/>
      <c r="K497" s="645"/>
      <c r="L497" s="645"/>
      <c r="M497" s="645"/>
      <c r="N497" s="645"/>
      <c r="O497" s="645"/>
      <c r="P497" s="645"/>
      <c r="Q497" s="645"/>
      <c r="R497" s="645"/>
      <c r="S497" s="645"/>
      <c r="T497" s="645"/>
      <c r="U497" s="645"/>
      <c r="V497" s="645"/>
      <c r="W497" s="645"/>
      <c r="X497" s="645"/>
      <c r="Y497" s="645"/>
      <c r="Z497" s="645"/>
      <c r="AA497" s="645"/>
      <c r="AB497" s="645"/>
      <c r="AC497" s="645"/>
      <c r="AD497" s="645"/>
      <c r="AE497" s="645"/>
      <c r="AF497" s="645"/>
    </row>
    <row r="498" spans="2:32" ht="15" customHeight="1">
      <c r="B498" s="2044"/>
      <c r="C498" s="2045"/>
      <c r="D498" s="2045"/>
      <c r="E498" s="2045"/>
      <c r="F498" s="2045"/>
      <c r="G498" s="2045"/>
      <c r="H498" s="2045"/>
      <c r="I498" s="2045"/>
      <c r="J498" s="2045"/>
      <c r="K498" s="2045"/>
      <c r="L498" s="2045"/>
      <c r="M498" s="2045"/>
      <c r="N498" s="2045"/>
      <c r="O498" s="2045"/>
      <c r="P498" s="2046"/>
      <c r="Q498" s="578"/>
      <c r="R498" s="2051"/>
      <c r="S498" s="2045"/>
      <c r="T498" s="2045"/>
      <c r="U498" s="2045"/>
      <c r="V498" s="2045"/>
      <c r="W498" s="2045"/>
      <c r="X498" s="2045"/>
      <c r="Y498" s="2045"/>
      <c r="Z498" s="2045"/>
      <c r="AA498" s="2045"/>
      <c r="AB498" s="2045"/>
      <c r="AC498" s="2045"/>
      <c r="AD498" s="2045"/>
      <c r="AE498" s="2045"/>
      <c r="AF498" s="2045"/>
    </row>
    <row r="499" spans="2:32" ht="15" customHeight="1">
      <c r="B499" s="2047"/>
      <c r="C499" s="2047"/>
      <c r="D499" s="2047"/>
      <c r="E499" s="2047"/>
      <c r="F499" s="2047"/>
      <c r="G499" s="2047"/>
      <c r="H499" s="2047"/>
      <c r="I499" s="2047"/>
      <c r="J499" s="2047"/>
      <c r="K499" s="2047"/>
      <c r="L499" s="2047"/>
      <c r="M499" s="2047"/>
      <c r="N499" s="2047"/>
      <c r="O499" s="2047"/>
      <c r="P499" s="2048"/>
      <c r="Q499" s="578"/>
      <c r="R499" s="2052"/>
      <c r="S499" s="2047"/>
      <c r="T499" s="2047"/>
      <c r="U499" s="2047"/>
      <c r="V499" s="2047"/>
      <c r="W499" s="2047"/>
      <c r="X499" s="2047"/>
      <c r="Y499" s="2047"/>
      <c r="Z499" s="2047"/>
      <c r="AA499" s="2047"/>
      <c r="AB499" s="2047"/>
      <c r="AC499" s="2047"/>
      <c r="AD499" s="2047"/>
      <c r="AE499" s="2047"/>
      <c r="AF499" s="2047"/>
    </row>
    <row r="500" spans="2:32" ht="15" customHeight="1">
      <c r="B500" s="2047"/>
      <c r="C500" s="2047"/>
      <c r="D500" s="2047"/>
      <c r="E500" s="2047"/>
      <c r="F500" s="2047"/>
      <c r="G500" s="2047"/>
      <c r="H500" s="2047"/>
      <c r="I500" s="2047"/>
      <c r="J500" s="2047"/>
      <c r="K500" s="2047"/>
      <c r="L500" s="2047"/>
      <c r="M500" s="2047"/>
      <c r="N500" s="2047"/>
      <c r="O500" s="2047"/>
      <c r="P500" s="2048"/>
      <c r="Q500" s="578"/>
      <c r="R500" s="2052"/>
      <c r="S500" s="2047"/>
      <c r="T500" s="2047"/>
      <c r="U500" s="2047"/>
      <c r="V500" s="2047"/>
      <c r="W500" s="2047"/>
      <c r="X500" s="2047"/>
      <c r="Y500" s="2047"/>
      <c r="Z500" s="2047"/>
      <c r="AA500" s="2047"/>
      <c r="AB500" s="2047"/>
      <c r="AC500" s="2047"/>
      <c r="AD500" s="2047"/>
      <c r="AE500" s="2047"/>
      <c r="AF500" s="2047"/>
    </row>
    <row r="501" spans="2:32" ht="15" customHeight="1">
      <c r="B501" s="2047"/>
      <c r="C501" s="2047"/>
      <c r="D501" s="2047"/>
      <c r="E501" s="2047"/>
      <c r="F501" s="2047"/>
      <c r="G501" s="2047"/>
      <c r="H501" s="2047"/>
      <c r="I501" s="2047"/>
      <c r="J501" s="2047"/>
      <c r="K501" s="2047"/>
      <c r="L501" s="2047"/>
      <c r="M501" s="2047"/>
      <c r="N501" s="2047"/>
      <c r="O501" s="2047"/>
      <c r="P501" s="2048"/>
      <c r="Q501" s="578"/>
      <c r="R501" s="2052"/>
      <c r="S501" s="2047"/>
      <c r="T501" s="2047"/>
      <c r="U501" s="2047"/>
      <c r="V501" s="2047"/>
      <c r="W501" s="2047"/>
      <c r="X501" s="2047"/>
      <c r="Y501" s="2047"/>
      <c r="Z501" s="2047"/>
      <c r="AA501" s="2047"/>
      <c r="AB501" s="2047"/>
      <c r="AC501" s="2047"/>
      <c r="AD501" s="2047"/>
      <c r="AE501" s="2047"/>
      <c r="AF501" s="2047"/>
    </row>
    <row r="502" spans="2:32" ht="15" customHeight="1">
      <c r="B502" s="2047"/>
      <c r="C502" s="2047"/>
      <c r="D502" s="2047"/>
      <c r="E502" s="2047"/>
      <c r="F502" s="2047"/>
      <c r="G502" s="2047"/>
      <c r="H502" s="2047"/>
      <c r="I502" s="2047"/>
      <c r="J502" s="2047"/>
      <c r="K502" s="2047"/>
      <c r="L502" s="2047"/>
      <c r="M502" s="2047"/>
      <c r="N502" s="2047"/>
      <c r="O502" s="2047"/>
      <c r="P502" s="2048"/>
      <c r="Q502" s="578"/>
      <c r="R502" s="2052"/>
      <c r="S502" s="2047"/>
      <c r="T502" s="2047"/>
      <c r="U502" s="2047"/>
      <c r="V502" s="2047"/>
      <c r="W502" s="2047"/>
      <c r="X502" s="2047"/>
      <c r="Y502" s="2047"/>
      <c r="Z502" s="2047"/>
      <c r="AA502" s="2047"/>
      <c r="AB502" s="2047"/>
      <c r="AC502" s="2047"/>
      <c r="AD502" s="2047"/>
      <c r="AE502" s="2047"/>
      <c r="AF502" s="2047"/>
    </row>
    <row r="503" spans="2:32" ht="15" customHeight="1">
      <c r="B503" s="2047"/>
      <c r="C503" s="2047"/>
      <c r="D503" s="2047"/>
      <c r="E503" s="2047"/>
      <c r="F503" s="2047"/>
      <c r="G503" s="2047"/>
      <c r="H503" s="2047"/>
      <c r="I503" s="2047"/>
      <c r="J503" s="2047"/>
      <c r="K503" s="2047"/>
      <c r="L503" s="2047"/>
      <c r="M503" s="2047"/>
      <c r="N503" s="2047"/>
      <c r="O503" s="2047"/>
      <c r="P503" s="2048"/>
      <c r="Q503" s="578"/>
      <c r="R503" s="2052"/>
      <c r="S503" s="2047"/>
      <c r="T503" s="2047"/>
      <c r="U503" s="2047"/>
      <c r="V503" s="2047"/>
      <c r="W503" s="2047"/>
      <c r="X503" s="2047"/>
      <c r="Y503" s="2047"/>
      <c r="Z503" s="2047"/>
      <c r="AA503" s="2047"/>
      <c r="AB503" s="2047"/>
      <c r="AC503" s="2047"/>
      <c r="AD503" s="2047"/>
      <c r="AE503" s="2047"/>
      <c r="AF503" s="2047"/>
    </row>
    <row r="504" spans="2:32" ht="15" customHeight="1">
      <c r="B504" s="2047"/>
      <c r="C504" s="2047"/>
      <c r="D504" s="2047"/>
      <c r="E504" s="2047"/>
      <c r="F504" s="2047"/>
      <c r="G504" s="2047"/>
      <c r="H504" s="2047"/>
      <c r="I504" s="2047"/>
      <c r="J504" s="2047"/>
      <c r="K504" s="2047"/>
      <c r="L504" s="2047"/>
      <c r="M504" s="2047"/>
      <c r="N504" s="2047"/>
      <c r="O504" s="2047"/>
      <c r="P504" s="2048"/>
      <c r="Q504" s="578"/>
      <c r="R504" s="2052"/>
      <c r="S504" s="2047"/>
      <c r="T504" s="2047"/>
      <c r="U504" s="2047"/>
      <c r="V504" s="2047"/>
      <c r="W504" s="2047"/>
      <c r="X504" s="2047"/>
      <c r="Y504" s="2047"/>
      <c r="Z504" s="2047"/>
      <c r="AA504" s="2047"/>
      <c r="AB504" s="2047"/>
      <c r="AC504" s="2047"/>
      <c r="AD504" s="2047"/>
      <c r="AE504" s="2047"/>
      <c r="AF504" s="2047"/>
    </row>
    <row r="505" spans="2:32" ht="15" customHeight="1">
      <c r="B505" s="2047"/>
      <c r="C505" s="2047"/>
      <c r="D505" s="2047"/>
      <c r="E505" s="2047"/>
      <c r="F505" s="2047"/>
      <c r="G505" s="2047"/>
      <c r="H505" s="2047"/>
      <c r="I505" s="2047"/>
      <c r="J505" s="2047"/>
      <c r="K505" s="2047"/>
      <c r="L505" s="2047"/>
      <c r="M505" s="2047"/>
      <c r="N505" s="2047"/>
      <c r="O505" s="2047"/>
      <c r="P505" s="2048"/>
      <c r="Q505" s="578"/>
      <c r="R505" s="2052"/>
      <c r="S505" s="2047"/>
      <c r="T505" s="2047"/>
      <c r="U505" s="2047"/>
      <c r="V505" s="2047"/>
      <c r="W505" s="2047"/>
      <c r="X505" s="2047"/>
      <c r="Y505" s="2047"/>
      <c r="Z505" s="2047"/>
      <c r="AA505" s="2047"/>
      <c r="AB505" s="2047"/>
      <c r="AC505" s="2047"/>
      <c r="AD505" s="2047"/>
      <c r="AE505" s="2047"/>
      <c r="AF505" s="2047"/>
    </row>
    <row r="506" spans="2:32" ht="15" customHeight="1">
      <c r="B506" s="2047"/>
      <c r="C506" s="2047"/>
      <c r="D506" s="2047"/>
      <c r="E506" s="2047"/>
      <c r="F506" s="2047"/>
      <c r="G506" s="2047"/>
      <c r="H506" s="2047"/>
      <c r="I506" s="2047"/>
      <c r="J506" s="2047"/>
      <c r="K506" s="2047"/>
      <c r="L506" s="2047"/>
      <c r="M506" s="2047"/>
      <c r="N506" s="2047"/>
      <c r="O506" s="2047"/>
      <c r="P506" s="2048"/>
      <c r="Q506" s="578"/>
      <c r="R506" s="2052"/>
      <c r="S506" s="2047"/>
      <c r="T506" s="2047"/>
      <c r="U506" s="2047"/>
      <c r="V506" s="2047"/>
      <c r="W506" s="2047"/>
      <c r="X506" s="2047"/>
      <c r="Y506" s="2047"/>
      <c r="Z506" s="2047"/>
      <c r="AA506" s="2047"/>
      <c r="AB506" s="2047"/>
      <c r="AC506" s="2047"/>
      <c r="AD506" s="2047"/>
      <c r="AE506" s="2047"/>
      <c r="AF506" s="2047"/>
    </row>
    <row r="507" spans="2:32" ht="15" customHeight="1">
      <c r="B507" s="2047"/>
      <c r="C507" s="2047"/>
      <c r="D507" s="2047"/>
      <c r="E507" s="2047"/>
      <c r="F507" s="2047"/>
      <c r="G507" s="2047"/>
      <c r="H507" s="2047"/>
      <c r="I507" s="2047"/>
      <c r="J507" s="2047"/>
      <c r="K507" s="2047"/>
      <c r="L507" s="2047"/>
      <c r="M507" s="2047"/>
      <c r="N507" s="2047"/>
      <c r="O507" s="2047"/>
      <c r="P507" s="2048"/>
      <c r="Q507" s="578"/>
      <c r="R507" s="2052"/>
      <c r="S507" s="2047"/>
      <c r="T507" s="2047"/>
      <c r="U507" s="2047"/>
      <c r="V507" s="2047"/>
      <c r="W507" s="2047"/>
      <c r="X507" s="2047"/>
      <c r="Y507" s="2047"/>
      <c r="Z507" s="2047"/>
      <c r="AA507" s="2047"/>
      <c r="AB507" s="2047"/>
      <c r="AC507" s="2047"/>
      <c r="AD507" s="2047"/>
      <c r="AE507" s="2047"/>
      <c r="AF507" s="2047"/>
    </row>
    <row r="508" spans="2:32" ht="15" customHeight="1">
      <c r="B508" s="2047"/>
      <c r="C508" s="2047"/>
      <c r="D508" s="2047"/>
      <c r="E508" s="2047"/>
      <c r="F508" s="2047"/>
      <c r="G508" s="2047"/>
      <c r="H508" s="2047"/>
      <c r="I508" s="2047"/>
      <c r="J508" s="2047"/>
      <c r="K508" s="2047"/>
      <c r="L508" s="2047"/>
      <c r="M508" s="2047"/>
      <c r="N508" s="2047"/>
      <c r="O508" s="2047"/>
      <c r="P508" s="2048"/>
      <c r="Q508" s="578"/>
      <c r="R508" s="2052"/>
      <c r="S508" s="2047"/>
      <c r="T508" s="2047"/>
      <c r="U508" s="2047"/>
      <c r="V508" s="2047"/>
      <c r="W508" s="2047"/>
      <c r="X508" s="2047"/>
      <c r="Y508" s="2047"/>
      <c r="Z508" s="2047"/>
      <c r="AA508" s="2047"/>
      <c r="AB508" s="2047"/>
      <c r="AC508" s="2047"/>
      <c r="AD508" s="2047"/>
      <c r="AE508" s="2047"/>
      <c r="AF508" s="2047"/>
    </row>
    <row r="509" spans="2:32" ht="15" customHeight="1">
      <c r="B509" s="2049"/>
      <c r="C509" s="2049"/>
      <c r="D509" s="2049"/>
      <c r="E509" s="2049"/>
      <c r="F509" s="2049"/>
      <c r="G509" s="2049"/>
      <c r="H509" s="2049"/>
      <c r="I509" s="2049"/>
      <c r="J509" s="2049"/>
      <c r="K509" s="2049"/>
      <c r="L509" s="2049"/>
      <c r="M509" s="2049"/>
      <c r="N509" s="2049"/>
      <c r="O509" s="2049"/>
      <c r="P509" s="2050"/>
      <c r="Q509" s="578"/>
      <c r="R509" s="2053"/>
      <c r="S509" s="2049"/>
      <c r="T509" s="2049"/>
      <c r="U509" s="2049"/>
      <c r="V509" s="2049"/>
      <c r="W509" s="2049"/>
      <c r="X509" s="2049"/>
      <c r="Y509" s="2049"/>
      <c r="Z509" s="2049"/>
      <c r="AA509" s="2049"/>
      <c r="AB509" s="2049"/>
      <c r="AC509" s="2049"/>
      <c r="AD509" s="2049"/>
      <c r="AE509" s="2049"/>
      <c r="AF509" s="2049"/>
    </row>
    <row r="510" spans="2:32" ht="15" customHeight="1">
      <c r="B510" s="645"/>
      <c r="C510" s="645"/>
      <c r="D510" s="645"/>
      <c r="E510" s="645"/>
      <c r="F510" s="645"/>
      <c r="G510" s="645"/>
      <c r="H510" s="645"/>
      <c r="I510" s="645"/>
      <c r="J510" s="645"/>
      <c r="K510" s="645"/>
      <c r="L510" s="645"/>
      <c r="M510" s="645"/>
      <c r="N510" s="645"/>
      <c r="O510" s="645"/>
      <c r="P510" s="645"/>
      <c r="Q510" s="645"/>
      <c r="R510" s="645"/>
      <c r="S510" s="645"/>
      <c r="T510" s="645"/>
      <c r="U510" s="645"/>
      <c r="V510" s="645"/>
      <c r="W510" s="645"/>
      <c r="X510" s="645"/>
      <c r="Y510" s="645"/>
      <c r="Z510" s="645"/>
      <c r="AA510" s="645"/>
      <c r="AB510" s="645"/>
      <c r="AC510" s="645"/>
      <c r="AD510" s="645"/>
      <c r="AE510" s="645"/>
      <c r="AF510" s="645"/>
    </row>
    <row r="511" spans="2:32" ht="15" customHeight="1">
      <c r="B511" s="2054"/>
      <c r="C511" s="2055"/>
      <c r="D511" s="2055"/>
      <c r="E511" s="2055"/>
      <c r="F511" s="2055"/>
      <c r="G511" s="2055"/>
      <c r="H511" s="2055"/>
      <c r="I511" s="2055"/>
      <c r="J511" s="2055"/>
      <c r="K511" s="2055"/>
      <c r="L511" s="2055"/>
      <c r="M511" s="2055"/>
      <c r="N511" s="2055"/>
      <c r="O511" s="2055"/>
      <c r="P511" s="2056"/>
      <c r="Q511" s="580"/>
      <c r="R511" s="2054"/>
      <c r="S511" s="2055"/>
      <c r="T511" s="2055"/>
      <c r="U511" s="2055"/>
      <c r="V511" s="2055"/>
      <c r="W511" s="2055"/>
      <c r="X511" s="2055"/>
      <c r="Y511" s="2055"/>
      <c r="Z511" s="2055"/>
      <c r="AA511" s="2055"/>
      <c r="AB511" s="2055"/>
      <c r="AC511" s="2055"/>
      <c r="AD511" s="2055"/>
      <c r="AE511" s="2055"/>
      <c r="AF511" s="2056"/>
    </row>
    <row r="512" spans="2:32" ht="15" customHeight="1">
      <c r="B512" s="2057"/>
      <c r="C512" s="2058"/>
      <c r="D512" s="2058"/>
      <c r="E512" s="2058"/>
      <c r="F512" s="2058"/>
      <c r="G512" s="2058"/>
      <c r="H512" s="2058"/>
      <c r="I512" s="2058"/>
      <c r="J512" s="2058"/>
      <c r="K512" s="2058"/>
      <c r="L512" s="2058"/>
      <c r="M512" s="2058"/>
      <c r="N512" s="2058"/>
      <c r="O512" s="2058"/>
      <c r="P512" s="2059"/>
      <c r="Q512" s="580"/>
      <c r="R512" s="2057"/>
      <c r="S512" s="2058"/>
      <c r="T512" s="2058"/>
      <c r="U512" s="2058"/>
      <c r="V512" s="2058"/>
      <c r="W512" s="2058"/>
      <c r="X512" s="2058"/>
      <c r="Y512" s="2058"/>
      <c r="Z512" s="2058"/>
      <c r="AA512" s="2058"/>
      <c r="AB512" s="2058"/>
      <c r="AC512" s="2058"/>
      <c r="AD512" s="2058"/>
      <c r="AE512" s="2058"/>
      <c r="AF512" s="2059"/>
    </row>
    <row r="513" spans="2:32" ht="15" customHeight="1">
      <c r="B513" s="364"/>
      <c r="C513" s="364"/>
      <c r="D513" s="364"/>
      <c r="E513" s="364"/>
      <c r="F513" s="364"/>
      <c r="G513" s="364"/>
      <c r="H513" s="364"/>
      <c r="I513" s="364"/>
      <c r="J513" s="364"/>
      <c r="K513" s="364"/>
      <c r="L513" s="364"/>
      <c r="M513" s="364"/>
      <c r="N513" s="364"/>
      <c r="O513" s="364"/>
      <c r="P513" s="364"/>
      <c r="Q513" s="579"/>
      <c r="R513" s="364"/>
      <c r="S513" s="364"/>
      <c r="T513" s="364"/>
      <c r="U513" s="364"/>
      <c r="V513" s="364"/>
      <c r="W513" s="364"/>
      <c r="X513" s="364"/>
      <c r="Y513" s="364"/>
      <c r="Z513" s="364"/>
      <c r="AA513" s="364"/>
      <c r="AB513" s="364"/>
      <c r="AC513" s="364"/>
      <c r="AD513" s="364"/>
      <c r="AE513" s="364"/>
      <c r="AF513" s="364"/>
    </row>
    <row r="514" spans="2:32" ht="15" customHeight="1">
      <c r="B514" s="364"/>
      <c r="C514" s="364"/>
      <c r="D514" s="364"/>
      <c r="E514" s="364"/>
      <c r="F514" s="364"/>
      <c r="G514" s="364"/>
      <c r="H514" s="364"/>
      <c r="I514" s="364"/>
      <c r="J514" s="364"/>
      <c r="K514" s="364"/>
      <c r="L514" s="364"/>
      <c r="M514" s="364"/>
      <c r="N514" s="364"/>
      <c r="O514" s="364"/>
      <c r="P514" s="364"/>
      <c r="Q514" s="579"/>
      <c r="R514" s="364"/>
      <c r="S514" s="364"/>
      <c r="T514" s="364"/>
      <c r="U514" s="364"/>
      <c r="V514" s="364"/>
      <c r="W514" s="364"/>
      <c r="X514" s="364"/>
      <c r="Y514" s="364"/>
      <c r="Z514" s="364"/>
      <c r="AA514" s="364"/>
      <c r="AB514" s="364"/>
      <c r="AC514" s="364"/>
      <c r="AD514" s="364"/>
      <c r="AE514" s="364"/>
      <c r="AF514" s="364"/>
    </row>
    <row r="515" spans="2:32" ht="15" customHeight="1">
      <c r="B515" s="364"/>
      <c r="C515" s="364"/>
      <c r="D515" s="364"/>
      <c r="E515" s="364"/>
      <c r="F515" s="364"/>
      <c r="G515" s="364"/>
      <c r="H515" s="364"/>
      <c r="I515" s="364"/>
      <c r="J515" s="364"/>
      <c r="K515" s="364"/>
      <c r="L515" s="364"/>
      <c r="M515" s="364"/>
      <c r="N515" s="364"/>
      <c r="O515" s="364"/>
      <c r="P515" s="364"/>
      <c r="Q515" s="579"/>
      <c r="R515" s="364"/>
      <c r="S515" s="364"/>
      <c r="T515" s="364"/>
      <c r="U515" s="364"/>
      <c r="V515" s="364"/>
      <c r="W515" s="364"/>
      <c r="X515" s="364"/>
      <c r="Y515" s="364"/>
      <c r="Z515" s="364"/>
      <c r="AA515" s="364"/>
      <c r="AB515" s="364"/>
      <c r="AC515" s="364"/>
      <c r="AD515" s="364"/>
      <c r="AE515" s="364"/>
      <c r="AF515" s="364"/>
    </row>
    <row r="516" spans="2:32" ht="15" customHeight="1">
      <c r="B516" s="645"/>
      <c r="C516" s="645"/>
      <c r="D516" s="645"/>
      <c r="E516" s="645"/>
      <c r="F516" s="645"/>
      <c r="G516" s="645"/>
      <c r="H516" s="645"/>
      <c r="I516" s="645"/>
      <c r="J516" s="645"/>
      <c r="K516" s="645"/>
      <c r="L516" s="645"/>
      <c r="M516" s="645"/>
      <c r="N516" s="645"/>
      <c r="O516" s="645"/>
      <c r="P516" s="645"/>
      <c r="Q516" s="645"/>
      <c r="R516" s="645"/>
      <c r="S516" s="645"/>
      <c r="T516" s="645"/>
      <c r="U516" s="645"/>
      <c r="V516" s="645"/>
      <c r="W516" s="645"/>
      <c r="X516" s="645"/>
      <c r="Y516" s="645"/>
      <c r="Z516" s="645"/>
      <c r="AA516" s="645"/>
      <c r="AB516" s="645"/>
      <c r="AC516" s="645"/>
      <c r="AD516" s="645"/>
      <c r="AE516" s="645"/>
      <c r="AF516" s="645"/>
    </row>
    <row r="517" spans="2:32" ht="15" customHeight="1">
      <c r="B517" s="2044"/>
      <c r="C517" s="2045"/>
      <c r="D517" s="2045"/>
      <c r="E517" s="2045"/>
      <c r="F517" s="2045"/>
      <c r="G517" s="2045"/>
      <c r="H517" s="2045"/>
      <c r="I517" s="2045"/>
      <c r="J517" s="2045"/>
      <c r="K517" s="2045"/>
      <c r="L517" s="2045"/>
      <c r="M517" s="2045"/>
      <c r="N517" s="2045"/>
      <c r="O517" s="2045"/>
      <c r="P517" s="2046"/>
      <c r="Q517" s="578"/>
      <c r="R517" s="2051"/>
      <c r="S517" s="2045"/>
      <c r="T517" s="2045"/>
      <c r="U517" s="2045"/>
      <c r="V517" s="2045"/>
      <c r="W517" s="2045"/>
      <c r="X517" s="2045"/>
      <c r="Y517" s="2045"/>
      <c r="Z517" s="2045"/>
      <c r="AA517" s="2045"/>
      <c r="AB517" s="2045"/>
      <c r="AC517" s="2045"/>
      <c r="AD517" s="2045"/>
      <c r="AE517" s="2045"/>
      <c r="AF517" s="2045"/>
    </row>
    <row r="518" spans="2:32" ht="15" customHeight="1">
      <c r="B518" s="2047"/>
      <c r="C518" s="2047"/>
      <c r="D518" s="2047"/>
      <c r="E518" s="2047"/>
      <c r="F518" s="2047"/>
      <c r="G518" s="2047"/>
      <c r="H518" s="2047"/>
      <c r="I518" s="2047"/>
      <c r="J518" s="2047"/>
      <c r="K518" s="2047"/>
      <c r="L518" s="2047"/>
      <c r="M518" s="2047"/>
      <c r="N518" s="2047"/>
      <c r="O518" s="2047"/>
      <c r="P518" s="2048"/>
      <c r="Q518" s="578"/>
      <c r="R518" s="2052"/>
      <c r="S518" s="2047"/>
      <c r="T518" s="2047"/>
      <c r="U518" s="2047"/>
      <c r="V518" s="2047"/>
      <c r="W518" s="2047"/>
      <c r="X518" s="2047"/>
      <c r="Y518" s="2047"/>
      <c r="Z518" s="2047"/>
      <c r="AA518" s="2047"/>
      <c r="AB518" s="2047"/>
      <c r="AC518" s="2047"/>
      <c r="AD518" s="2047"/>
      <c r="AE518" s="2047"/>
      <c r="AF518" s="2047"/>
    </row>
    <row r="519" spans="2:32" ht="15" customHeight="1">
      <c r="B519" s="2047"/>
      <c r="C519" s="2047"/>
      <c r="D519" s="2047"/>
      <c r="E519" s="2047"/>
      <c r="F519" s="2047"/>
      <c r="G519" s="2047"/>
      <c r="H519" s="2047"/>
      <c r="I519" s="2047"/>
      <c r="J519" s="2047"/>
      <c r="K519" s="2047"/>
      <c r="L519" s="2047"/>
      <c r="M519" s="2047"/>
      <c r="N519" s="2047"/>
      <c r="O519" s="2047"/>
      <c r="P519" s="2048"/>
      <c r="Q519" s="578"/>
      <c r="R519" s="2052"/>
      <c r="S519" s="2047"/>
      <c r="T519" s="2047"/>
      <c r="U519" s="2047"/>
      <c r="V519" s="2047"/>
      <c r="W519" s="2047"/>
      <c r="X519" s="2047"/>
      <c r="Y519" s="2047"/>
      <c r="Z519" s="2047"/>
      <c r="AA519" s="2047"/>
      <c r="AB519" s="2047"/>
      <c r="AC519" s="2047"/>
      <c r="AD519" s="2047"/>
      <c r="AE519" s="2047"/>
      <c r="AF519" s="2047"/>
    </row>
    <row r="520" spans="2:32" ht="15" customHeight="1">
      <c r="B520" s="2047"/>
      <c r="C520" s="2047"/>
      <c r="D520" s="2047"/>
      <c r="E520" s="2047"/>
      <c r="F520" s="2047"/>
      <c r="G520" s="2047"/>
      <c r="H520" s="2047"/>
      <c r="I520" s="2047"/>
      <c r="J520" s="2047"/>
      <c r="K520" s="2047"/>
      <c r="L520" s="2047"/>
      <c r="M520" s="2047"/>
      <c r="N520" s="2047"/>
      <c r="O520" s="2047"/>
      <c r="P520" s="2048"/>
      <c r="Q520" s="578"/>
      <c r="R520" s="2052"/>
      <c r="S520" s="2047"/>
      <c r="T520" s="2047"/>
      <c r="U520" s="2047"/>
      <c r="V520" s="2047"/>
      <c r="W520" s="2047"/>
      <c r="X520" s="2047"/>
      <c r="Y520" s="2047"/>
      <c r="Z520" s="2047"/>
      <c r="AA520" s="2047"/>
      <c r="AB520" s="2047"/>
      <c r="AC520" s="2047"/>
      <c r="AD520" s="2047"/>
      <c r="AE520" s="2047"/>
      <c r="AF520" s="2047"/>
    </row>
    <row r="521" spans="2:32" ht="15" customHeight="1">
      <c r="B521" s="2047"/>
      <c r="C521" s="2047"/>
      <c r="D521" s="2047"/>
      <c r="E521" s="2047"/>
      <c r="F521" s="2047"/>
      <c r="G521" s="2047"/>
      <c r="H521" s="2047"/>
      <c r="I521" s="2047"/>
      <c r="J521" s="2047"/>
      <c r="K521" s="2047"/>
      <c r="L521" s="2047"/>
      <c r="M521" s="2047"/>
      <c r="N521" s="2047"/>
      <c r="O521" s="2047"/>
      <c r="P521" s="2048"/>
      <c r="Q521" s="578"/>
      <c r="R521" s="2052"/>
      <c r="S521" s="2047"/>
      <c r="T521" s="2047"/>
      <c r="U521" s="2047"/>
      <c r="V521" s="2047"/>
      <c r="W521" s="2047"/>
      <c r="X521" s="2047"/>
      <c r="Y521" s="2047"/>
      <c r="Z521" s="2047"/>
      <c r="AA521" s="2047"/>
      <c r="AB521" s="2047"/>
      <c r="AC521" s="2047"/>
      <c r="AD521" s="2047"/>
      <c r="AE521" s="2047"/>
      <c r="AF521" s="2047"/>
    </row>
    <row r="522" spans="2:32" ht="15" customHeight="1">
      <c r="B522" s="2047"/>
      <c r="C522" s="2047"/>
      <c r="D522" s="2047"/>
      <c r="E522" s="2047"/>
      <c r="F522" s="2047"/>
      <c r="G522" s="2047"/>
      <c r="H522" s="2047"/>
      <c r="I522" s="2047"/>
      <c r="J522" s="2047"/>
      <c r="K522" s="2047"/>
      <c r="L522" s="2047"/>
      <c r="M522" s="2047"/>
      <c r="N522" s="2047"/>
      <c r="O522" s="2047"/>
      <c r="P522" s="2048"/>
      <c r="Q522" s="578"/>
      <c r="R522" s="2052"/>
      <c r="S522" s="2047"/>
      <c r="T522" s="2047"/>
      <c r="U522" s="2047"/>
      <c r="V522" s="2047"/>
      <c r="W522" s="2047"/>
      <c r="X522" s="2047"/>
      <c r="Y522" s="2047"/>
      <c r="Z522" s="2047"/>
      <c r="AA522" s="2047"/>
      <c r="AB522" s="2047"/>
      <c r="AC522" s="2047"/>
      <c r="AD522" s="2047"/>
      <c r="AE522" s="2047"/>
      <c r="AF522" s="2047"/>
    </row>
    <row r="523" spans="2:32" ht="15" customHeight="1">
      <c r="B523" s="2047"/>
      <c r="C523" s="2047"/>
      <c r="D523" s="2047"/>
      <c r="E523" s="2047"/>
      <c r="F523" s="2047"/>
      <c r="G523" s="2047"/>
      <c r="H523" s="2047"/>
      <c r="I523" s="2047"/>
      <c r="J523" s="2047"/>
      <c r="K523" s="2047"/>
      <c r="L523" s="2047"/>
      <c r="M523" s="2047"/>
      <c r="N523" s="2047"/>
      <c r="O523" s="2047"/>
      <c r="P523" s="2048"/>
      <c r="Q523" s="578"/>
      <c r="R523" s="2052"/>
      <c r="S523" s="2047"/>
      <c r="T523" s="2047"/>
      <c r="U523" s="2047"/>
      <c r="V523" s="2047"/>
      <c r="W523" s="2047"/>
      <c r="X523" s="2047"/>
      <c r="Y523" s="2047"/>
      <c r="Z523" s="2047"/>
      <c r="AA523" s="2047"/>
      <c r="AB523" s="2047"/>
      <c r="AC523" s="2047"/>
      <c r="AD523" s="2047"/>
      <c r="AE523" s="2047"/>
      <c r="AF523" s="2047"/>
    </row>
    <row r="524" spans="2:32" ht="15" customHeight="1">
      <c r="B524" s="2047"/>
      <c r="C524" s="2047"/>
      <c r="D524" s="2047"/>
      <c r="E524" s="2047"/>
      <c r="F524" s="2047"/>
      <c r="G524" s="2047"/>
      <c r="H524" s="2047"/>
      <c r="I524" s="2047"/>
      <c r="J524" s="2047"/>
      <c r="K524" s="2047"/>
      <c r="L524" s="2047"/>
      <c r="M524" s="2047"/>
      <c r="N524" s="2047"/>
      <c r="O524" s="2047"/>
      <c r="P524" s="2048"/>
      <c r="Q524" s="578"/>
      <c r="R524" s="2052"/>
      <c r="S524" s="2047"/>
      <c r="T524" s="2047"/>
      <c r="U524" s="2047"/>
      <c r="V524" s="2047"/>
      <c r="W524" s="2047"/>
      <c r="X524" s="2047"/>
      <c r="Y524" s="2047"/>
      <c r="Z524" s="2047"/>
      <c r="AA524" s="2047"/>
      <c r="AB524" s="2047"/>
      <c r="AC524" s="2047"/>
      <c r="AD524" s="2047"/>
      <c r="AE524" s="2047"/>
      <c r="AF524" s="2047"/>
    </row>
    <row r="525" spans="2:32" ht="15" customHeight="1">
      <c r="B525" s="2047"/>
      <c r="C525" s="2047"/>
      <c r="D525" s="2047"/>
      <c r="E525" s="2047"/>
      <c r="F525" s="2047"/>
      <c r="G525" s="2047"/>
      <c r="H525" s="2047"/>
      <c r="I525" s="2047"/>
      <c r="J525" s="2047"/>
      <c r="K525" s="2047"/>
      <c r="L525" s="2047"/>
      <c r="M525" s="2047"/>
      <c r="N525" s="2047"/>
      <c r="O525" s="2047"/>
      <c r="P525" s="2048"/>
      <c r="Q525" s="578"/>
      <c r="R525" s="2052"/>
      <c r="S525" s="2047"/>
      <c r="T525" s="2047"/>
      <c r="U525" s="2047"/>
      <c r="V525" s="2047"/>
      <c r="W525" s="2047"/>
      <c r="X525" s="2047"/>
      <c r="Y525" s="2047"/>
      <c r="Z525" s="2047"/>
      <c r="AA525" s="2047"/>
      <c r="AB525" s="2047"/>
      <c r="AC525" s="2047"/>
      <c r="AD525" s="2047"/>
      <c r="AE525" s="2047"/>
      <c r="AF525" s="2047"/>
    </row>
    <row r="526" spans="2:32" ht="15" customHeight="1">
      <c r="B526" s="2047"/>
      <c r="C526" s="2047"/>
      <c r="D526" s="2047"/>
      <c r="E526" s="2047"/>
      <c r="F526" s="2047"/>
      <c r="G526" s="2047"/>
      <c r="H526" s="2047"/>
      <c r="I526" s="2047"/>
      <c r="J526" s="2047"/>
      <c r="K526" s="2047"/>
      <c r="L526" s="2047"/>
      <c r="M526" s="2047"/>
      <c r="N526" s="2047"/>
      <c r="O526" s="2047"/>
      <c r="P526" s="2048"/>
      <c r="Q526" s="578"/>
      <c r="R526" s="2052"/>
      <c r="S526" s="2047"/>
      <c r="T526" s="2047"/>
      <c r="U526" s="2047"/>
      <c r="V526" s="2047"/>
      <c r="W526" s="2047"/>
      <c r="X526" s="2047"/>
      <c r="Y526" s="2047"/>
      <c r="Z526" s="2047"/>
      <c r="AA526" s="2047"/>
      <c r="AB526" s="2047"/>
      <c r="AC526" s="2047"/>
      <c r="AD526" s="2047"/>
      <c r="AE526" s="2047"/>
      <c r="AF526" s="2047"/>
    </row>
    <row r="527" spans="2:32" ht="15" customHeight="1">
      <c r="B527" s="2047"/>
      <c r="C527" s="2047"/>
      <c r="D527" s="2047"/>
      <c r="E527" s="2047"/>
      <c r="F527" s="2047"/>
      <c r="G527" s="2047"/>
      <c r="H527" s="2047"/>
      <c r="I527" s="2047"/>
      <c r="J527" s="2047"/>
      <c r="K527" s="2047"/>
      <c r="L527" s="2047"/>
      <c r="M527" s="2047"/>
      <c r="N527" s="2047"/>
      <c r="O527" s="2047"/>
      <c r="P527" s="2048"/>
      <c r="Q527" s="578"/>
      <c r="R527" s="2052"/>
      <c r="S527" s="2047"/>
      <c r="T527" s="2047"/>
      <c r="U527" s="2047"/>
      <c r="V527" s="2047"/>
      <c r="W527" s="2047"/>
      <c r="X527" s="2047"/>
      <c r="Y527" s="2047"/>
      <c r="Z527" s="2047"/>
      <c r="AA527" s="2047"/>
      <c r="AB527" s="2047"/>
      <c r="AC527" s="2047"/>
      <c r="AD527" s="2047"/>
      <c r="AE527" s="2047"/>
      <c r="AF527" s="2047"/>
    </row>
    <row r="528" spans="2:32" ht="15" customHeight="1">
      <c r="B528" s="2049"/>
      <c r="C528" s="2049"/>
      <c r="D528" s="2049"/>
      <c r="E528" s="2049"/>
      <c r="F528" s="2049"/>
      <c r="G528" s="2049"/>
      <c r="H528" s="2049"/>
      <c r="I528" s="2049"/>
      <c r="J528" s="2049"/>
      <c r="K528" s="2049"/>
      <c r="L528" s="2049"/>
      <c r="M528" s="2049"/>
      <c r="N528" s="2049"/>
      <c r="O528" s="2049"/>
      <c r="P528" s="2050"/>
      <c r="Q528" s="578"/>
      <c r="R528" s="2053"/>
      <c r="S528" s="2049"/>
      <c r="T528" s="2049"/>
      <c r="U528" s="2049"/>
      <c r="V528" s="2049"/>
      <c r="W528" s="2049"/>
      <c r="X528" s="2049"/>
      <c r="Y528" s="2049"/>
      <c r="Z528" s="2049"/>
      <c r="AA528" s="2049"/>
      <c r="AB528" s="2049"/>
      <c r="AC528" s="2049"/>
      <c r="AD528" s="2049"/>
      <c r="AE528" s="2049"/>
      <c r="AF528" s="2049"/>
    </row>
    <row r="529" spans="2:67" ht="15" customHeight="1">
      <c r="B529" s="645"/>
      <c r="C529" s="645"/>
      <c r="D529" s="645"/>
      <c r="E529" s="645"/>
      <c r="F529" s="645"/>
      <c r="G529" s="645"/>
      <c r="H529" s="645"/>
      <c r="I529" s="645"/>
      <c r="J529" s="645"/>
      <c r="K529" s="645"/>
      <c r="L529" s="645"/>
      <c r="M529" s="645"/>
      <c r="N529" s="645"/>
      <c r="O529" s="645"/>
      <c r="P529" s="645"/>
      <c r="Q529" s="645"/>
      <c r="R529" s="645"/>
      <c r="S529" s="645"/>
      <c r="T529" s="645"/>
      <c r="U529" s="645"/>
      <c r="V529" s="645"/>
      <c r="W529" s="645"/>
      <c r="X529" s="645"/>
      <c r="Y529" s="645"/>
      <c r="Z529" s="645"/>
      <c r="AA529" s="645"/>
      <c r="AB529" s="645"/>
      <c r="AC529" s="645"/>
      <c r="AD529" s="645"/>
      <c r="AE529" s="645"/>
      <c r="AF529" s="645"/>
    </row>
    <row r="530" spans="2:67" ht="15" customHeight="1">
      <c r="B530" s="2054"/>
      <c r="C530" s="2055"/>
      <c r="D530" s="2055"/>
      <c r="E530" s="2055"/>
      <c r="F530" s="2055"/>
      <c r="G530" s="2055"/>
      <c r="H530" s="2055"/>
      <c r="I530" s="2055"/>
      <c r="J530" s="2055"/>
      <c r="K530" s="2055"/>
      <c r="L530" s="2055"/>
      <c r="M530" s="2055"/>
      <c r="N530" s="2055"/>
      <c r="O530" s="2055"/>
      <c r="P530" s="2056"/>
      <c r="Q530" s="580"/>
      <c r="R530" s="2054"/>
      <c r="S530" s="2055"/>
      <c r="T530" s="2055"/>
      <c r="U530" s="2055"/>
      <c r="V530" s="2055"/>
      <c r="W530" s="2055"/>
      <c r="X530" s="2055"/>
      <c r="Y530" s="2055"/>
      <c r="Z530" s="2055"/>
      <c r="AA530" s="2055"/>
      <c r="AB530" s="2055"/>
      <c r="AC530" s="2055"/>
      <c r="AD530" s="2055"/>
      <c r="AE530" s="2055"/>
      <c r="AF530" s="2056"/>
    </row>
    <row r="531" spans="2:67" ht="15" customHeight="1">
      <c r="B531" s="2057"/>
      <c r="C531" s="2058"/>
      <c r="D531" s="2058"/>
      <c r="E531" s="2058"/>
      <c r="F531" s="2058"/>
      <c r="G531" s="2058"/>
      <c r="H531" s="2058"/>
      <c r="I531" s="2058"/>
      <c r="J531" s="2058"/>
      <c r="K531" s="2058"/>
      <c r="L531" s="2058"/>
      <c r="M531" s="2058"/>
      <c r="N531" s="2058"/>
      <c r="O531" s="2058"/>
      <c r="P531" s="2059"/>
      <c r="Q531" s="580"/>
      <c r="R531" s="2057"/>
      <c r="S531" s="2058"/>
      <c r="T531" s="2058"/>
      <c r="U531" s="2058"/>
      <c r="V531" s="2058"/>
      <c r="W531" s="2058"/>
      <c r="X531" s="2058"/>
      <c r="Y531" s="2058"/>
      <c r="Z531" s="2058"/>
      <c r="AA531" s="2058"/>
      <c r="AB531" s="2058"/>
      <c r="AC531" s="2058"/>
      <c r="AD531" s="2058"/>
      <c r="AE531" s="2058"/>
      <c r="AF531" s="2059"/>
    </row>
    <row r="532" spans="2:67" ht="15" customHeight="1">
      <c r="B532" s="364"/>
      <c r="C532" s="364"/>
      <c r="D532" s="364"/>
      <c r="E532" s="364"/>
      <c r="F532" s="364"/>
      <c r="G532" s="364"/>
      <c r="H532" s="364"/>
      <c r="I532" s="364"/>
      <c r="J532" s="364"/>
      <c r="K532" s="364"/>
      <c r="L532" s="364"/>
      <c r="M532" s="364"/>
      <c r="N532" s="364"/>
      <c r="O532" s="364"/>
      <c r="P532" s="364"/>
      <c r="Q532" s="579"/>
      <c r="R532" s="364"/>
      <c r="S532" s="364"/>
      <c r="T532" s="364"/>
      <c r="U532" s="364"/>
      <c r="V532" s="364"/>
      <c r="W532" s="364"/>
      <c r="X532" s="364"/>
      <c r="Y532" s="364"/>
      <c r="Z532" s="364"/>
      <c r="AA532" s="364"/>
      <c r="AB532" s="364"/>
      <c r="AC532" s="364"/>
      <c r="AD532" s="364"/>
      <c r="AE532" s="364"/>
      <c r="AF532" s="364"/>
    </row>
    <row r="533" spans="2:67" ht="15" customHeight="1">
      <c r="B533" s="364"/>
      <c r="C533" s="364"/>
      <c r="D533" s="364"/>
      <c r="E533" s="364"/>
      <c r="F533" s="364"/>
      <c r="G533" s="364"/>
      <c r="H533" s="364"/>
      <c r="I533" s="364"/>
      <c r="J533" s="364"/>
      <c r="K533" s="364"/>
      <c r="L533" s="364"/>
      <c r="M533" s="364"/>
      <c r="N533" s="364"/>
      <c r="O533" s="364"/>
      <c r="P533" s="364"/>
      <c r="Q533" s="579"/>
      <c r="R533" s="364"/>
      <c r="S533" s="364"/>
      <c r="T533" s="364"/>
      <c r="U533" s="364"/>
      <c r="V533" s="364"/>
      <c r="W533" s="364"/>
      <c r="X533" s="364"/>
      <c r="Y533" s="364"/>
      <c r="Z533" s="364"/>
      <c r="AA533" s="364"/>
      <c r="AB533" s="364"/>
      <c r="AC533" s="364"/>
      <c r="AD533" s="364"/>
      <c r="AE533" s="364"/>
      <c r="AF533" s="364"/>
    </row>
    <row r="534" spans="2:67" ht="15" customHeight="1">
      <c r="B534" s="364"/>
      <c r="C534" s="364"/>
      <c r="D534" s="364"/>
      <c r="E534" s="364"/>
      <c r="F534" s="364"/>
      <c r="G534" s="364"/>
      <c r="H534" s="364"/>
      <c r="I534" s="364"/>
      <c r="J534" s="364"/>
      <c r="K534" s="364"/>
      <c r="L534" s="364"/>
      <c r="M534" s="364"/>
      <c r="N534" s="364"/>
      <c r="O534" s="364"/>
      <c r="P534" s="364"/>
      <c r="Q534" s="579"/>
      <c r="R534" s="364"/>
      <c r="S534" s="364"/>
      <c r="T534" s="364"/>
      <c r="U534" s="364"/>
      <c r="V534" s="364"/>
      <c r="W534" s="364"/>
      <c r="X534" s="364"/>
      <c r="Y534" s="364"/>
      <c r="Z534" s="364"/>
      <c r="AA534" s="364"/>
      <c r="AB534" s="364"/>
      <c r="AC534" s="364"/>
      <c r="AD534" s="364"/>
      <c r="AE534" s="364"/>
      <c r="AF534" s="364"/>
    </row>
    <row r="535" spans="2:67" ht="15" customHeight="1" thickBot="1">
      <c r="B535" s="645"/>
      <c r="C535" s="645"/>
      <c r="D535" s="645"/>
      <c r="E535" s="645"/>
      <c r="F535" s="645"/>
      <c r="G535" s="645"/>
      <c r="H535" s="645"/>
      <c r="I535" s="645"/>
      <c r="J535" s="645"/>
      <c r="K535" s="645"/>
      <c r="L535" s="645"/>
      <c r="M535" s="645"/>
      <c r="N535" s="645"/>
      <c r="O535" s="645"/>
      <c r="P535" s="645"/>
      <c r="Q535" s="645"/>
      <c r="R535" s="645"/>
      <c r="S535" s="645"/>
      <c r="T535" s="645"/>
      <c r="U535" s="645"/>
      <c r="V535" s="645"/>
      <c r="W535" s="645"/>
      <c r="X535" s="645"/>
      <c r="Y535" s="645"/>
      <c r="Z535" s="645"/>
      <c r="AA535" s="645"/>
      <c r="AB535" s="645"/>
      <c r="AC535" s="581"/>
      <c r="AD535" s="645"/>
      <c r="AE535" s="645"/>
      <c r="AF535" s="645"/>
    </row>
    <row r="536" spans="2:67" s="3" customFormat="1" ht="24.95" customHeight="1" thickTop="1">
      <c r="B536" s="2071"/>
      <c r="C536" s="2071"/>
      <c r="D536" s="2071"/>
      <c r="E536" s="2071"/>
      <c r="F536" s="2071"/>
      <c r="G536" s="2071"/>
      <c r="H536" s="2071"/>
      <c r="I536" s="2071"/>
      <c r="J536" s="2071"/>
      <c r="K536" s="2071"/>
      <c r="L536" s="2071"/>
      <c r="M536" s="2071"/>
      <c r="N536" s="2071"/>
      <c r="O536" s="2071"/>
      <c r="P536" s="2071"/>
      <c r="Q536" s="2071"/>
      <c r="R536" s="2071"/>
      <c r="S536" s="2071"/>
      <c r="T536" s="2071"/>
      <c r="U536" s="2071"/>
      <c r="V536" s="2071"/>
      <c r="W536" s="2071"/>
      <c r="X536" s="2071"/>
      <c r="Y536" s="2071"/>
      <c r="Z536" s="582"/>
      <c r="AA536" s="582"/>
      <c r="AB536" s="582"/>
      <c r="AC536" s="2072"/>
      <c r="AD536" s="2073"/>
      <c r="AE536" s="2073"/>
      <c r="AF536" s="2073"/>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row>
    <row r="537" spans="2:67" ht="15" customHeight="1">
      <c r="B537" s="364"/>
      <c r="C537" s="364"/>
      <c r="D537" s="364"/>
      <c r="E537" s="364"/>
      <c r="F537" s="364"/>
      <c r="G537" s="364"/>
      <c r="H537" s="364"/>
      <c r="I537" s="364"/>
      <c r="J537" s="364"/>
      <c r="K537" s="364"/>
      <c r="L537" s="364"/>
      <c r="M537" s="364"/>
      <c r="N537" s="364"/>
      <c r="O537" s="364"/>
      <c r="P537" s="364"/>
      <c r="Q537" s="579"/>
      <c r="R537" s="364"/>
      <c r="S537" s="364"/>
      <c r="T537" s="364"/>
      <c r="U537" s="364"/>
      <c r="V537" s="364"/>
      <c r="W537" s="364"/>
      <c r="X537" s="364"/>
      <c r="Y537" s="364"/>
      <c r="Z537" s="364"/>
      <c r="AA537" s="364"/>
      <c r="AB537" s="364"/>
      <c r="AC537" s="364"/>
      <c r="AD537" s="364"/>
      <c r="AE537" s="364"/>
      <c r="AF537" s="364"/>
    </row>
    <row r="538" spans="2:67" ht="15" customHeight="1">
      <c r="B538" s="364"/>
      <c r="C538" s="364"/>
      <c r="D538" s="364"/>
      <c r="E538" s="364"/>
      <c r="F538" s="364"/>
      <c r="G538" s="364"/>
      <c r="H538" s="364"/>
      <c r="I538" s="364"/>
      <c r="J538" s="364"/>
      <c r="K538" s="364"/>
      <c r="L538" s="364"/>
      <c r="M538" s="364"/>
      <c r="N538" s="364"/>
      <c r="O538" s="364"/>
      <c r="P538" s="364"/>
      <c r="Q538" s="579"/>
      <c r="R538" s="364"/>
      <c r="S538" s="364"/>
      <c r="T538" s="364"/>
      <c r="U538" s="364"/>
      <c r="V538" s="364"/>
      <c r="W538" s="364"/>
      <c r="X538" s="364"/>
      <c r="Y538" s="364"/>
      <c r="Z538" s="364"/>
      <c r="AA538" s="364"/>
      <c r="AB538" s="364"/>
      <c r="AC538" s="364"/>
      <c r="AD538" s="364"/>
      <c r="AE538" s="364"/>
      <c r="AF538" s="364"/>
    </row>
    <row r="539" spans="2:67" ht="15" customHeight="1">
      <c r="B539" s="364"/>
      <c r="C539" s="364"/>
      <c r="D539" s="364"/>
      <c r="E539" s="364"/>
      <c r="F539" s="364"/>
      <c r="G539" s="364"/>
      <c r="H539" s="364"/>
      <c r="I539" s="364"/>
      <c r="J539" s="364"/>
      <c r="K539" s="364"/>
      <c r="L539" s="364"/>
      <c r="M539" s="364"/>
      <c r="N539" s="364"/>
      <c r="O539" s="364"/>
      <c r="P539" s="364"/>
      <c r="Q539" s="579"/>
      <c r="R539" s="364"/>
      <c r="S539" s="364"/>
      <c r="T539" s="364"/>
      <c r="U539" s="364"/>
      <c r="V539" s="364"/>
      <c r="W539" s="364"/>
      <c r="X539" s="364"/>
      <c r="Y539" s="364"/>
      <c r="Z539" s="364"/>
      <c r="AA539" s="364"/>
      <c r="AB539" s="364"/>
      <c r="AC539" s="364"/>
      <c r="AD539" s="364"/>
      <c r="AE539" s="364"/>
      <c r="AF539" s="364"/>
    </row>
    <row r="540" spans="2:67" ht="15" customHeight="1">
      <c r="B540" s="645"/>
      <c r="C540" s="645"/>
      <c r="D540" s="645"/>
      <c r="E540" s="645"/>
      <c r="F540" s="645"/>
      <c r="G540" s="645"/>
      <c r="H540" s="645"/>
      <c r="I540" s="645"/>
      <c r="J540" s="645"/>
      <c r="K540" s="645"/>
      <c r="L540" s="645"/>
      <c r="M540" s="645"/>
      <c r="N540" s="645"/>
      <c r="O540" s="645"/>
      <c r="P540" s="645"/>
      <c r="Q540" s="645"/>
      <c r="R540" s="645"/>
      <c r="S540" s="645"/>
      <c r="T540" s="645"/>
      <c r="U540" s="645"/>
      <c r="V540" s="645"/>
      <c r="W540" s="645"/>
      <c r="X540" s="645"/>
      <c r="Y540" s="645"/>
      <c r="Z540" s="645"/>
      <c r="AA540" s="645"/>
      <c r="AB540" s="645"/>
      <c r="AC540" s="645"/>
      <c r="AD540" s="645"/>
      <c r="AE540" s="645"/>
      <c r="AF540" s="645"/>
    </row>
    <row r="541" spans="2:67" ht="15" customHeight="1">
      <c r="B541" s="2074"/>
      <c r="C541" s="2047"/>
      <c r="D541" s="2047"/>
      <c r="E541" s="2047"/>
      <c r="F541" s="2047"/>
      <c r="G541" s="2047"/>
      <c r="H541" s="2047"/>
      <c r="I541" s="2047"/>
      <c r="J541" s="2047"/>
      <c r="K541" s="2047"/>
      <c r="L541" s="2047"/>
      <c r="M541" s="2047"/>
      <c r="N541" s="2047"/>
      <c r="O541" s="2047"/>
      <c r="P541" s="2047"/>
      <c r="Q541" s="578"/>
      <c r="R541" s="2074"/>
      <c r="S541" s="2047"/>
      <c r="T541" s="2047"/>
      <c r="U541" s="2047"/>
      <c r="V541" s="2047"/>
      <c r="W541" s="2047"/>
      <c r="X541" s="2047"/>
      <c r="Y541" s="2047"/>
      <c r="Z541" s="2047"/>
      <c r="AA541" s="2047"/>
      <c r="AB541" s="2047"/>
      <c r="AC541" s="2047"/>
      <c r="AD541" s="2047"/>
      <c r="AE541" s="2047"/>
      <c r="AF541" s="2047"/>
    </row>
    <row r="542" spans="2:67" ht="15" customHeight="1">
      <c r="B542" s="2047"/>
      <c r="C542" s="2047"/>
      <c r="D542" s="2047"/>
      <c r="E542" s="2047"/>
      <c r="F542" s="2047"/>
      <c r="G542" s="2047"/>
      <c r="H542" s="2047"/>
      <c r="I542" s="2047"/>
      <c r="J542" s="2047"/>
      <c r="K542" s="2047"/>
      <c r="L542" s="2047"/>
      <c r="M542" s="2047"/>
      <c r="N542" s="2047"/>
      <c r="O542" s="2047"/>
      <c r="P542" s="2047"/>
      <c r="Q542" s="578"/>
      <c r="R542" s="2047"/>
      <c r="S542" s="2047"/>
      <c r="T542" s="2047"/>
      <c r="U542" s="2047"/>
      <c r="V542" s="2047"/>
      <c r="W542" s="2047"/>
      <c r="X542" s="2047"/>
      <c r="Y542" s="2047"/>
      <c r="Z542" s="2047"/>
      <c r="AA542" s="2047"/>
      <c r="AB542" s="2047"/>
      <c r="AC542" s="2047"/>
      <c r="AD542" s="2047"/>
      <c r="AE542" s="2047"/>
      <c r="AF542" s="2047"/>
    </row>
    <row r="543" spans="2:67" ht="15" customHeight="1">
      <c r="B543" s="2047"/>
      <c r="C543" s="2047"/>
      <c r="D543" s="2047"/>
      <c r="E543" s="2047"/>
      <c r="F543" s="2047"/>
      <c r="G543" s="2047"/>
      <c r="H543" s="2047"/>
      <c r="I543" s="2047"/>
      <c r="J543" s="2047"/>
      <c r="K543" s="2047"/>
      <c r="L543" s="2047"/>
      <c r="M543" s="2047"/>
      <c r="N543" s="2047"/>
      <c r="O543" s="2047"/>
      <c r="P543" s="2047"/>
      <c r="Q543" s="578"/>
      <c r="R543" s="2047"/>
      <c r="S543" s="2047"/>
      <c r="T543" s="2047"/>
      <c r="U543" s="2047"/>
      <c r="V543" s="2047"/>
      <c r="W543" s="2047"/>
      <c r="X543" s="2047"/>
      <c r="Y543" s="2047"/>
      <c r="Z543" s="2047"/>
      <c r="AA543" s="2047"/>
      <c r="AB543" s="2047"/>
      <c r="AC543" s="2047"/>
      <c r="AD543" s="2047"/>
      <c r="AE543" s="2047"/>
      <c r="AF543" s="2047"/>
    </row>
    <row r="544" spans="2:67" ht="15" customHeight="1">
      <c r="B544" s="2047"/>
      <c r="C544" s="2047"/>
      <c r="D544" s="2047"/>
      <c r="E544" s="2047"/>
      <c r="F544" s="2047"/>
      <c r="G544" s="2047"/>
      <c r="H544" s="2047"/>
      <c r="I544" s="2047"/>
      <c r="J544" s="2047"/>
      <c r="K544" s="2047"/>
      <c r="L544" s="2047"/>
      <c r="M544" s="2047"/>
      <c r="N544" s="2047"/>
      <c r="O544" s="2047"/>
      <c r="P544" s="2047"/>
      <c r="Q544" s="578"/>
      <c r="R544" s="2047"/>
      <c r="S544" s="2047"/>
      <c r="T544" s="2047"/>
      <c r="U544" s="2047"/>
      <c r="V544" s="2047"/>
      <c r="W544" s="2047"/>
      <c r="X544" s="2047"/>
      <c r="Y544" s="2047"/>
      <c r="Z544" s="2047"/>
      <c r="AA544" s="2047"/>
      <c r="AB544" s="2047"/>
      <c r="AC544" s="2047"/>
      <c r="AD544" s="2047"/>
      <c r="AE544" s="2047"/>
      <c r="AF544" s="2047"/>
    </row>
    <row r="545" spans="2:32" ht="15" customHeight="1">
      <c r="B545" s="2047"/>
      <c r="C545" s="2047"/>
      <c r="D545" s="2047"/>
      <c r="E545" s="2047"/>
      <c r="F545" s="2047"/>
      <c r="G545" s="2047"/>
      <c r="H545" s="2047"/>
      <c r="I545" s="2047"/>
      <c r="J545" s="2047"/>
      <c r="K545" s="2047"/>
      <c r="L545" s="2047"/>
      <c r="M545" s="2047"/>
      <c r="N545" s="2047"/>
      <c r="O545" s="2047"/>
      <c r="P545" s="2047"/>
      <c r="Q545" s="578"/>
      <c r="R545" s="2047"/>
      <c r="S545" s="2047"/>
      <c r="T545" s="2047"/>
      <c r="U545" s="2047"/>
      <c r="V545" s="2047"/>
      <c r="W545" s="2047"/>
      <c r="X545" s="2047"/>
      <c r="Y545" s="2047"/>
      <c r="Z545" s="2047"/>
      <c r="AA545" s="2047"/>
      <c r="AB545" s="2047"/>
      <c r="AC545" s="2047"/>
      <c r="AD545" s="2047"/>
      <c r="AE545" s="2047"/>
      <c r="AF545" s="2047"/>
    </row>
    <row r="546" spans="2:32" ht="15" customHeight="1">
      <c r="B546" s="2047"/>
      <c r="C546" s="2047"/>
      <c r="D546" s="2047"/>
      <c r="E546" s="2047"/>
      <c r="F546" s="2047"/>
      <c r="G546" s="2047"/>
      <c r="H546" s="2047"/>
      <c r="I546" s="2047"/>
      <c r="J546" s="2047"/>
      <c r="K546" s="2047"/>
      <c r="L546" s="2047"/>
      <c r="M546" s="2047"/>
      <c r="N546" s="2047"/>
      <c r="O546" s="2047"/>
      <c r="P546" s="2047"/>
      <c r="Q546" s="578"/>
      <c r="R546" s="2047"/>
      <c r="S546" s="2047"/>
      <c r="T546" s="2047"/>
      <c r="U546" s="2047"/>
      <c r="V546" s="2047"/>
      <c r="W546" s="2047"/>
      <c r="X546" s="2047"/>
      <c r="Y546" s="2047"/>
      <c r="Z546" s="2047"/>
      <c r="AA546" s="2047"/>
      <c r="AB546" s="2047"/>
      <c r="AC546" s="2047"/>
      <c r="AD546" s="2047"/>
      <c r="AE546" s="2047"/>
      <c r="AF546" s="2047"/>
    </row>
    <row r="547" spans="2:32" ht="15" customHeight="1">
      <c r="B547" s="2047"/>
      <c r="C547" s="2047"/>
      <c r="D547" s="2047"/>
      <c r="E547" s="2047"/>
      <c r="F547" s="2047"/>
      <c r="G547" s="2047"/>
      <c r="H547" s="2047"/>
      <c r="I547" s="2047"/>
      <c r="J547" s="2047"/>
      <c r="K547" s="2047"/>
      <c r="L547" s="2047"/>
      <c r="M547" s="2047"/>
      <c r="N547" s="2047"/>
      <c r="O547" s="2047"/>
      <c r="P547" s="2047"/>
      <c r="Q547" s="578"/>
      <c r="R547" s="2047"/>
      <c r="S547" s="2047"/>
      <c r="T547" s="2047"/>
      <c r="U547" s="2047"/>
      <c r="V547" s="2047"/>
      <c r="W547" s="2047"/>
      <c r="X547" s="2047"/>
      <c r="Y547" s="2047"/>
      <c r="Z547" s="2047"/>
      <c r="AA547" s="2047"/>
      <c r="AB547" s="2047"/>
      <c r="AC547" s="2047"/>
      <c r="AD547" s="2047"/>
      <c r="AE547" s="2047"/>
      <c r="AF547" s="2047"/>
    </row>
    <row r="548" spans="2:32" ht="15" customHeight="1">
      <c r="B548" s="2047"/>
      <c r="C548" s="2047"/>
      <c r="D548" s="2047"/>
      <c r="E548" s="2047"/>
      <c r="F548" s="2047"/>
      <c r="G548" s="2047"/>
      <c r="H548" s="2047"/>
      <c r="I548" s="2047"/>
      <c r="J548" s="2047"/>
      <c r="K548" s="2047"/>
      <c r="L548" s="2047"/>
      <c r="M548" s="2047"/>
      <c r="N548" s="2047"/>
      <c r="O548" s="2047"/>
      <c r="P548" s="2047"/>
      <c r="Q548" s="578"/>
      <c r="R548" s="2047"/>
      <c r="S548" s="2047"/>
      <c r="T548" s="2047"/>
      <c r="U548" s="2047"/>
      <c r="V548" s="2047"/>
      <c r="W548" s="2047"/>
      <c r="X548" s="2047"/>
      <c r="Y548" s="2047"/>
      <c r="Z548" s="2047"/>
      <c r="AA548" s="2047"/>
      <c r="AB548" s="2047"/>
      <c r="AC548" s="2047"/>
      <c r="AD548" s="2047"/>
      <c r="AE548" s="2047"/>
      <c r="AF548" s="2047"/>
    </row>
    <row r="549" spans="2:32" ht="15" customHeight="1">
      <c r="B549" s="2047"/>
      <c r="C549" s="2047"/>
      <c r="D549" s="2047"/>
      <c r="E549" s="2047"/>
      <c r="F549" s="2047"/>
      <c r="G549" s="2047"/>
      <c r="H549" s="2047"/>
      <c r="I549" s="2047"/>
      <c r="J549" s="2047"/>
      <c r="K549" s="2047"/>
      <c r="L549" s="2047"/>
      <c r="M549" s="2047"/>
      <c r="N549" s="2047"/>
      <c r="O549" s="2047"/>
      <c r="P549" s="2047"/>
      <c r="Q549" s="578"/>
      <c r="R549" s="2047"/>
      <c r="S549" s="2047"/>
      <c r="T549" s="2047"/>
      <c r="U549" s="2047"/>
      <c r="V549" s="2047"/>
      <c r="W549" s="2047"/>
      <c r="X549" s="2047"/>
      <c r="Y549" s="2047"/>
      <c r="Z549" s="2047"/>
      <c r="AA549" s="2047"/>
      <c r="AB549" s="2047"/>
      <c r="AC549" s="2047"/>
      <c r="AD549" s="2047"/>
      <c r="AE549" s="2047"/>
      <c r="AF549" s="2047"/>
    </row>
    <row r="550" spans="2:32" ht="15" customHeight="1">
      <c r="B550" s="2047"/>
      <c r="C550" s="2047"/>
      <c r="D550" s="2047"/>
      <c r="E550" s="2047"/>
      <c r="F550" s="2047"/>
      <c r="G550" s="2047"/>
      <c r="H550" s="2047"/>
      <c r="I550" s="2047"/>
      <c r="J550" s="2047"/>
      <c r="K550" s="2047"/>
      <c r="L550" s="2047"/>
      <c r="M550" s="2047"/>
      <c r="N550" s="2047"/>
      <c r="O550" s="2047"/>
      <c r="P550" s="2047"/>
      <c r="Q550" s="578"/>
      <c r="R550" s="2047"/>
      <c r="S550" s="2047"/>
      <c r="T550" s="2047"/>
      <c r="U550" s="2047"/>
      <c r="V550" s="2047"/>
      <c r="W550" s="2047"/>
      <c r="X550" s="2047"/>
      <c r="Y550" s="2047"/>
      <c r="Z550" s="2047"/>
      <c r="AA550" s="2047"/>
      <c r="AB550" s="2047"/>
      <c r="AC550" s="2047"/>
      <c r="AD550" s="2047"/>
      <c r="AE550" s="2047"/>
      <c r="AF550" s="2047"/>
    </row>
    <row r="551" spans="2:32" ht="15" customHeight="1">
      <c r="B551" s="2047"/>
      <c r="C551" s="2047"/>
      <c r="D551" s="2047"/>
      <c r="E551" s="2047"/>
      <c r="F551" s="2047"/>
      <c r="G551" s="2047"/>
      <c r="H551" s="2047"/>
      <c r="I551" s="2047"/>
      <c r="J551" s="2047"/>
      <c r="K551" s="2047"/>
      <c r="L551" s="2047"/>
      <c r="M551" s="2047"/>
      <c r="N551" s="2047"/>
      <c r="O551" s="2047"/>
      <c r="P551" s="2047"/>
      <c r="Q551" s="578"/>
      <c r="R551" s="2047"/>
      <c r="S551" s="2047"/>
      <c r="T551" s="2047"/>
      <c r="U551" s="2047"/>
      <c r="V551" s="2047"/>
      <c r="W551" s="2047"/>
      <c r="X551" s="2047"/>
      <c r="Y551" s="2047"/>
      <c r="Z551" s="2047"/>
      <c r="AA551" s="2047"/>
      <c r="AB551" s="2047"/>
      <c r="AC551" s="2047"/>
      <c r="AD551" s="2047"/>
      <c r="AE551" s="2047"/>
      <c r="AF551" s="2047"/>
    </row>
    <row r="552" spans="2:32" ht="15" customHeight="1">
      <c r="B552" s="2047"/>
      <c r="C552" s="2047"/>
      <c r="D552" s="2047"/>
      <c r="E552" s="2047"/>
      <c r="F552" s="2047"/>
      <c r="G552" s="2047"/>
      <c r="H552" s="2047"/>
      <c r="I552" s="2047"/>
      <c r="J552" s="2047"/>
      <c r="K552" s="2047"/>
      <c r="L552" s="2047"/>
      <c r="M552" s="2047"/>
      <c r="N552" s="2047"/>
      <c r="O552" s="2047"/>
      <c r="P552" s="2047"/>
      <c r="Q552" s="578"/>
      <c r="R552" s="2047"/>
      <c r="S552" s="2047"/>
      <c r="T552" s="2047"/>
      <c r="U552" s="2047"/>
      <c r="V552" s="2047"/>
      <c r="W552" s="2047"/>
      <c r="X552" s="2047"/>
      <c r="Y552" s="2047"/>
      <c r="Z552" s="2047"/>
      <c r="AA552" s="2047"/>
      <c r="AB552" s="2047"/>
      <c r="AC552" s="2047"/>
      <c r="AD552" s="2047"/>
      <c r="AE552" s="2047"/>
      <c r="AF552" s="2047"/>
    </row>
    <row r="553" spans="2:32" ht="15" customHeight="1">
      <c r="B553" s="645"/>
      <c r="C553" s="645"/>
      <c r="D553" s="645"/>
      <c r="E553" s="645"/>
      <c r="F553" s="645"/>
      <c r="G553" s="645"/>
      <c r="H553" s="645"/>
      <c r="I553" s="645"/>
      <c r="J553" s="645"/>
      <c r="K553" s="645"/>
      <c r="L553" s="645"/>
      <c r="M553" s="645"/>
      <c r="N553" s="645"/>
      <c r="O553" s="645"/>
      <c r="P553" s="645"/>
      <c r="Q553" s="645"/>
      <c r="R553" s="645"/>
      <c r="S553" s="645"/>
      <c r="T553" s="645"/>
      <c r="U553" s="645"/>
      <c r="V553" s="645"/>
      <c r="W553" s="645"/>
      <c r="X553" s="645"/>
      <c r="Y553" s="645"/>
      <c r="Z553" s="645"/>
      <c r="AA553" s="645"/>
      <c r="AB553" s="645"/>
      <c r="AC553" s="645"/>
      <c r="AD553" s="645"/>
      <c r="AE553" s="645"/>
      <c r="AF553" s="645"/>
    </row>
    <row r="554" spans="2:32" ht="15" customHeight="1">
      <c r="B554" s="2075"/>
      <c r="C554" s="2075"/>
      <c r="D554" s="2075"/>
      <c r="E554" s="2075"/>
      <c r="F554" s="2075"/>
      <c r="G554" s="2075"/>
      <c r="H554" s="2075"/>
      <c r="I554" s="2075"/>
      <c r="J554" s="2075"/>
      <c r="K554" s="2075"/>
      <c r="L554" s="2075"/>
      <c r="M554" s="2075"/>
      <c r="N554" s="2075"/>
      <c r="O554" s="2075"/>
      <c r="P554" s="2075"/>
      <c r="Q554" s="580"/>
      <c r="R554" s="2075"/>
      <c r="S554" s="2075"/>
      <c r="T554" s="2075"/>
      <c r="U554" s="2075"/>
      <c r="V554" s="2075"/>
      <c r="W554" s="2075"/>
      <c r="X554" s="2075"/>
      <c r="Y554" s="2075"/>
      <c r="Z554" s="2075"/>
      <c r="AA554" s="2075"/>
      <c r="AB554" s="2075"/>
      <c r="AC554" s="2075"/>
      <c r="AD554" s="2075"/>
      <c r="AE554" s="2075"/>
      <c r="AF554" s="2075"/>
    </row>
    <row r="555" spans="2:32" ht="15" customHeight="1">
      <c r="B555" s="2075"/>
      <c r="C555" s="2075"/>
      <c r="D555" s="2075"/>
      <c r="E555" s="2075"/>
      <c r="F555" s="2075"/>
      <c r="G555" s="2075"/>
      <c r="H555" s="2075"/>
      <c r="I555" s="2075"/>
      <c r="J555" s="2075"/>
      <c r="K555" s="2075"/>
      <c r="L555" s="2075"/>
      <c r="M555" s="2075"/>
      <c r="N555" s="2075"/>
      <c r="O555" s="2075"/>
      <c r="P555" s="2075"/>
      <c r="Q555" s="580"/>
      <c r="R555" s="2075"/>
      <c r="S555" s="2075"/>
      <c r="T555" s="2075"/>
      <c r="U555" s="2075"/>
      <c r="V555" s="2075"/>
      <c r="W555" s="2075"/>
      <c r="X555" s="2075"/>
      <c r="Y555" s="2075"/>
      <c r="Z555" s="2075"/>
      <c r="AA555" s="2075"/>
      <c r="AB555" s="2075"/>
      <c r="AC555" s="2075"/>
      <c r="AD555" s="2075"/>
      <c r="AE555" s="2075"/>
      <c r="AF555" s="2075"/>
    </row>
    <row r="556" spans="2:32" ht="15" customHeight="1">
      <c r="B556" s="364"/>
      <c r="C556" s="364"/>
      <c r="D556" s="364"/>
      <c r="E556" s="364"/>
      <c r="F556" s="364"/>
      <c r="G556" s="364"/>
      <c r="H556" s="364"/>
      <c r="I556" s="364"/>
      <c r="J556" s="364"/>
      <c r="K556" s="364"/>
      <c r="L556" s="364"/>
      <c r="M556" s="364"/>
      <c r="N556" s="364"/>
      <c r="O556" s="364"/>
      <c r="P556" s="364"/>
      <c r="Q556" s="579"/>
      <c r="R556" s="364"/>
      <c r="S556" s="364"/>
      <c r="T556" s="364"/>
      <c r="U556" s="364"/>
      <c r="V556" s="364"/>
      <c r="W556" s="364"/>
      <c r="X556" s="364"/>
      <c r="Y556" s="364"/>
      <c r="Z556" s="364"/>
      <c r="AA556" s="364"/>
      <c r="AB556" s="364"/>
      <c r="AC556" s="364"/>
      <c r="AD556" s="364"/>
      <c r="AE556" s="364"/>
      <c r="AF556" s="364"/>
    </row>
    <row r="557" spans="2:32" ht="15" customHeight="1">
      <c r="B557" s="364"/>
      <c r="C557" s="364"/>
      <c r="D557" s="364"/>
      <c r="E557" s="364"/>
      <c r="F557" s="364"/>
      <c r="G557" s="364"/>
      <c r="H557" s="364"/>
      <c r="I557" s="364"/>
      <c r="J557" s="364"/>
      <c r="K557" s="364"/>
      <c r="L557" s="364"/>
      <c r="M557" s="364"/>
      <c r="N557" s="364"/>
      <c r="O557" s="364"/>
      <c r="P557" s="364"/>
      <c r="Q557" s="579"/>
      <c r="R557" s="364"/>
      <c r="S557" s="364"/>
      <c r="T557" s="364"/>
      <c r="U557" s="364"/>
      <c r="V557" s="364"/>
      <c r="W557" s="364"/>
      <c r="X557" s="364"/>
      <c r="Y557" s="364"/>
      <c r="Z557" s="364"/>
      <c r="AA557" s="364"/>
      <c r="AB557" s="364"/>
      <c r="AC557" s="364"/>
      <c r="AD557" s="364"/>
      <c r="AE557" s="364"/>
      <c r="AF557" s="364"/>
    </row>
    <row r="558" spans="2:32" ht="15" customHeight="1">
      <c r="B558" s="364"/>
      <c r="C558" s="364"/>
      <c r="D558" s="364"/>
      <c r="E558" s="364"/>
      <c r="F558" s="364"/>
      <c r="G558" s="364"/>
      <c r="H558" s="364"/>
      <c r="I558" s="364"/>
      <c r="J558" s="364"/>
      <c r="K558" s="364"/>
      <c r="L558" s="364"/>
      <c r="M558" s="364"/>
      <c r="N558" s="364"/>
      <c r="O558" s="364"/>
      <c r="P558" s="364"/>
      <c r="Q558" s="579"/>
      <c r="R558" s="364"/>
      <c r="S558" s="364"/>
      <c r="T558" s="364"/>
      <c r="U558" s="364"/>
      <c r="V558" s="364"/>
      <c r="W558" s="364"/>
      <c r="X558" s="364"/>
      <c r="Y558" s="364"/>
      <c r="Z558" s="364"/>
      <c r="AA558" s="364"/>
      <c r="AB558" s="364"/>
      <c r="AC558" s="364"/>
      <c r="AD558" s="364"/>
      <c r="AE558" s="364"/>
      <c r="AF558" s="364"/>
    </row>
    <row r="559" spans="2:32" ht="15" customHeight="1">
      <c r="B559" s="645"/>
      <c r="C559" s="645"/>
      <c r="D559" s="645"/>
      <c r="E559" s="645"/>
      <c r="F559" s="645"/>
      <c r="G559" s="645"/>
      <c r="H559" s="645"/>
      <c r="I559" s="645"/>
      <c r="J559" s="645"/>
      <c r="K559" s="645"/>
      <c r="L559" s="645"/>
      <c r="M559" s="645"/>
      <c r="N559" s="645"/>
      <c r="O559" s="645"/>
      <c r="P559" s="645"/>
      <c r="Q559" s="645"/>
      <c r="R559" s="645"/>
      <c r="S559" s="645"/>
      <c r="T559" s="645"/>
      <c r="U559" s="645"/>
      <c r="V559" s="645"/>
      <c r="W559" s="645"/>
      <c r="X559" s="645"/>
      <c r="Y559" s="645"/>
      <c r="Z559" s="645"/>
      <c r="AA559" s="645"/>
      <c r="AB559" s="645"/>
      <c r="AC559" s="645"/>
      <c r="AD559" s="645"/>
      <c r="AE559" s="645"/>
      <c r="AF559" s="645"/>
    </row>
    <row r="560" spans="2:32" ht="15" customHeight="1">
      <c r="B560" s="2074"/>
      <c r="C560" s="2047"/>
      <c r="D560" s="2047"/>
      <c r="E560" s="2047"/>
      <c r="F560" s="2047"/>
      <c r="G560" s="2047"/>
      <c r="H560" s="2047"/>
      <c r="I560" s="2047"/>
      <c r="J560" s="2047"/>
      <c r="K560" s="2047"/>
      <c r="L560" s="2047"/>
      <c r="M560" s="2047"/>
      <c r="N560" s="2047"/>
      <c r="O560" s="2047"/>
      <c r="P560" s="2047"/>
      <c r="Q560" s="578"/>
      <c r="R560" s="2074"/>
      <c r="S560" s="2047"/>
      <c r="T560" s="2047"/>
      <c r="U560" s="2047"/>
      <c r="V560" s="2047"/>
      <c r="W560" s="2047"/>
      <c r="X560" s="2047"/>
      <c r="Y560" s="2047"/>
      <c r="Z560" s="2047"/>
      <c r="AA560" s="2047"/>
      <c r="AB560" s="2047"/>
      <c r="AC560" s="2047"/>
      <c r="AD560" s="2047"/>
      <c r="AE560" s="2047"/>
      <c r="AF560" s="2047"/>
    </row>
    <row r="561" spans="2:32" ht="15" customHeight="1">
      <c r="B561" s="2047"/>
      <c r="C561" s="2047"/>
      <c r="D561" s="2047"/>
      <c r="E561" s="2047"/>
      <c r="F561" s="2047"/>
      <c r="G561" s="2047"/>
      <c r="H561" s="2047"/>
      <c r="I561" s="2047"/>
      <c r="J561" s="2047"/>
      <c r="K561" s="2047"/>
      <c r="L561" s="2047"/>
      <c r="M561" s="2047"/>
      <c r="N561" s="2047"/>
      <c r="O561" s="2047"/>
      <c r="P561" s="2047"/>
      <c r="Q561" s="578"/>
      <c r="R561" s="2047"/>
      <c r="S561" s="2047"/>
      <c r="T561" s="2047"/>
      <c r="U561" s="2047"/>
      <c r="V561" s="2047"/>
      <c r="W561" s="2047"/>
      <c r="X561" s="2047"/>
      <c r="Y561" s="2047"/>
      <c r="Z561" s="2047"/>
      <c r="AA561" s="2047"/>
      <c r="AB561" s="2047"/>
      <c r="AC561" s="2047"/>
      <c r="AD561" s="2047"/>
      <c r="AE561" s="2047"/>
      <c r="AF561" s="2047"/>
    </row>
    <row r="562" spans="2:32" ht="15" customHeight="1">
      <c r="B562" s="2047"/>
      <c r="C562" s="2047"/>
      <c r="D562" s="2047"/>
      <c r="E562" s="2047"/>
      <c r="F562" s="2047"/>
      <c r="G562" s="2047"/>
      <c r="H562" s="2047"/>
      <c r="I562" s="2047"/>
      <c r="J562" s="2047"/>
      <c r="K562" s="2047"/>
      <c r="L562" s="2047"/>
      <c r="M562" s="2047"/>
      <c r="N562" s="2047"/>
      <c r="O562" s="2047"/>
      <c r="P562" s="2047"/>
      <c r="Q562" s="578"/>
      <c r="R562" s="2047"/>
      <c r="S562" s="2047"/>
      <c r="T562" s="2047"/>
      <c r="U562" s="2047"/>
      <c r="V562" s="2047"/>
      <c r="W562" s="2047"/>
      <c r="X562" s="2047"/>
      <c r="Y562" s="2047"/>
      <c r="Z562" s="2047"/>
      <c r="AA562" s="2047"/>
      <c r="AB562" s="2047"/>
      <c r="AC562" s="2047"/>
      <c r="AD562" s="2047"/>
      <c r="AE562" s="2047"/>
      <c r="AF562" s="2047"/>
    </row>
    <row r="563" spans="2:32" ht="15" customHeight="1">
      <c r="B563" s="2047"/>
      <c r="C563" s="2047"/>
      <c r="D563" s="2047"/>
      <c r="E563" s="2047"/>
      <c r="F563" s="2047"/>
      <c r="G563" s="2047"/>
      <c r="H563" s="2047"/>
      <c r="I563" s="2047"/>
      <c r="J563" s="2047"/>
      <c r="K563" s="2047"/>
      <c r="L563" s="2047"/>
      <c r="M563" s="2047"/>
      <c r="N563" s="2047"/>
      <c r="O563" s="2047"/>
      <c r="P563" s="2047"/>
      <c r="Q563" s="578"/>
      <c r="R563" s="2047"/>
      <c r="S563" s="2047"/>
      <c r="T563" s="2047"/>
      <c r="U563" s="2047"/>
      <c r="V563" s="2047"/>
      <c r="W563" s="2047"/>
      <c r="X563" s="2047"/>
      <c r="Y563" s="2047"/>
      <c r="Z563" s="2047"/>
      <c r="AA563" s="2047"/>
      <c r="AB563" s="2047"/>
      <c r="AC563" s="2047"/>
      <c r="AD563" s="2047"/>
      <c r="AE563" s="2047"/>
      <c r="AF563" s="2047"/>
    </row>
    <row r="564" spans="2:32" ht="15" customHeight="1">
      <c r="B564" s="2047"/>
      <c r="C564" s="2047"/>
      <c r="D564" s="2047"/>
      <c r="E564" s="2047"/>
      <c r="F564" s="2047"/>
      <c r="G564" s="2047"/>
      <c r="H564" s="2047"/>
      <c r="I564" s="2047"/>
      <c r="J564" s="2047"/>
      <c r="K564" s="2047"/>
      <c r="L564" s="2047"/>
      <c r="M564" s="2047"/>
      <c r="N564" s="2047"/>
      <c r="O564" s="2047"/>
      <c r="P564" s="2047"/>
      <c r="Q564" s="578"/>
      <c r="R564" s="2047"/>
      <c r="S564" s="2047"/>
      <c r="T564" s="2047"/>
      <c r="U564" s="2047"/>
      <c r="V564" s="2047"/>
      <c r="W564" s="2047"/>
      <c r="X564" s="2047"/>
      <c r="Y564" s="2047"/>
      <c r="Z564" s="2047"/>
      <c r="AA564" s="2047"/>
      <c r="AB564" s="2047"/>
      <c r="AC564" s="2047"/>
      <c r="AD564" s="2047"/>
      <c r="AE564" s="2047"/>
      <c r="AF564" s="2047"/>
    </row>
    <row r="565" spans="2:32" ht="15" customHeight="1">
      <c r="B565" s="2047"/>
      <c r="C565" s="2047"/>
      <c r="D565" s="2047"/>
      <c r="E565" s="2047"/>
      <c r="F565" s="2047"/>
      <c r="G565" s="2047"/>
      <c r="H565" s="2047"/>
      <c r="I565" s="2047"/>
      <c r="J565" s="2047"/>
      <c r="K565" s="2047"/>
      <c r="L565" s="2047"/>
      <c r="M565" s="2047"/>
      <c r="N565" s="2047"/>
      <c r="O565" s="2047"/>
      <c r="P565" s="2047"/>
      <c r="Q565" s="578"/>
      <c r="R565" s="2047"/>
      <c r="S565" s="2047"/>
      <c r="T565" s="2047"/>
      <c r="U565" s="2047"/>
      <c r="V565" s="2047"/>
      <c r="W565" s="2047"/>
      <c r="X565" s="2047"/>
      <c r="Y565" s="2047"/>
      <c r="Z565" s="2047"/>
      <c r="AA565" s="2047"/>
      <c r="AB565" s="2047"/>
      <c r="AC565" s="2047"/>
      <c r="AD565" s="2047"/>
      <c r="AE565" s="2047"/>
      <c r="AF565" s="2047"/>
    </row>
    <row r="566" spans="2:32" ht="15" customHeight="1">
      <c r="B566" s="2047"/>
      <c r="C566" s="2047"/>
      <c r="D566" s="2047"/>
      <c r="E566" s="2047"/>
      <c r="F566" s="2047"/>
      <c r="G566" s="2047"/>
      <c r="H566" s="2047"/>
      <c r="I566" s="2047"/>
      <c r="J566" s="2047"/>
      <c r="K566" s="2047"/>
      <c r="L566" s="2047"/>
      <c r="M566" s="2047"/>
      <c r="N566" s="2047"/>
      <c r="O566" s="2047"/>
      <c r="P566" s="2047"/>
      <c r="Q566" s="578"/>
      <c r="R566" s="2047"/>
      <c r="S566" s="2047"/>
      <c r="T566" s="2047"/>
      <c r="U566" s="2047"/>
      <c r="V566" s="2047"/>
      <c r="W566" s="2047"/>
      <c r="X566" s="2047"/>
      <c r="Y566" s="2047"/>
      <c r="Z566" s="2047"/>
      <c r="AA566" s="2047"/>
      <c r="AB566" s="2047"/>
      <c r="AC566" s="2047"/>
      <c r="AD566" s="2047"/>
      <c r="AE566" s="2047"/>
      <c r="AF566" s="2047"/>
    </row>
    <row r="567" spans="2:32" ht="15" customHeight="1">
      <c r="B567" s="2047"/>
      <c r="C567" s="2047"/>
      <c r="D567" s="2047"/>
      <c r="E567" s="2047"/>
      <c r="F567" s="2047"/>
      <c r="G567" s="2047"/>
      <c r="H567" s="2047"/>
      <c r="I567" s="2047"/>
      <c r="J567" s="2047"/>
      <c r="K567" s="2047"/>
      <c r="L567" s="2047"/>
      <c r="M567" s="2047"/>
      <c r="N567" s="2047"/>
      <c r="O567" s="2047"/>
      <c r="P567" s="2047"/>
      <c r="Q567" s="578"/>
      <c r="R567" s="2047"/>
      <c r="S567" s="2047"/>
      <c r="T567" s="2047"/>
      <c r="U567" s="2047"/>
      <c r="V567" s="2047"/>
      <c r="W567" s="2047"/>
      <c r="X567" s="2047"/>
      <c r="Y567" s="2047"/>
      <c r="Z567" s="2047"/>
      <c r="AA567" s="2047"/>
      <c r="AB567" s="2047"/>
      <c r="AC567" s="2047"/>
      <c r="AD567" s="2047"/>
      <c r="AE567" s="2047"/>
      <c r="AF567" s="2047"/>
    </row>
    <row r="568" spans="2:32" ht="15" customHeight="1">
      <c r="B568" s="2047"/>
      <c r="C568" s="2047"/>
      <c r="D568" s="2047"/>
      <c r="E568" s="2047"/>
      <c r="F568" s="2047"/>
      <c r="G568" s="2047"/>
      <c r="H568" s="2047"/>
      <c r="I568" s="2047"/>
      <c r="J568" s="2047"/>
      <c r="K568" s="2047"/>
      <c r="L568" s="2047"/>
      <c r="M568" s="2047"/>
      <c r="N568" s="2047"/>
      <c r="O568" s="2047"/>
      <c r="P568" s="2047"/>
      <c r="Q568" s="578"/>
      <c r="R568" s="2047"/>
      <c r="S568" s="2047"/>
      <c r="T568" s="2047"/>
      <c r="U568" s="2047"/>
      <c r="V568" s="2047"/>
      <c r="W568" s="2047"/>
      <c r="X568" s="2047"/>
      <c r="Y568" s="2047"/>
      <c r="Z568" s="2047"/>
      <c r="AA568" s="2047"/>
      <c r="AB568" s="2047"/>
      <c r="AC568" s="2047"/>
      <c r="AD568" s="2047"/>
      <c r="AE568" s="2047"/>
      <c r="AF568" s="2047"/>
    </row>
    <row r="569" spans="2:32" ht="15" customHeight="1">
      <c r="B569" s="2047"/>
      <c r="C569" s="2047"/>
      <c r="D569" s="2047"/>
      <c r="E569" s="2047"/>
      <c r="F569" s="2047"/>
      <c r="G569" s="2047"/>
      <c r="H569" s="2047"/>
      <c r="I569" s="2047"/>
      <c r="J569" s="2047"/>
      <c r="K569" s="2047"/>
      <c r="L569" s="2047"/>
      <c r="M569" s="2047"/>
      <c r="N569" s="2047"/>
      <c r="O569" s="2047"/>
      <c r="P569" s="2047"/>
      <c r="Q569" s="578"/>
      <c r="R569" s="2047"/>
      <c r="S569" s="2047"/>
      <c r="T569" s="2047"/>
      <c r="U569" s="2047"/>
      <c r="V569" s="2047"/>
      <c r="W569" s="2047"/>
      <c r="X569" s="2047"/>
      <c r="Y569" s="2047"/>
      <c r="Z569" s="2047"/>
      <c r="AA569" s="2047"/>
      <c r="AB569" s="2047"/>
      <c r="AC569" s="2047"/>
      <c r="AD569" s="2047"/>
      <c r="AE569" s="2047"/>
      <c r="AF569" s="2047"/>
    </row>
    <row r="570" spans="2:32" ht="15" customHeight="1">
      <c r="B570" s="2047"/>
      <c r="C570" s="2047"/>
      <c r="D570" s="2047"/>
      <c r="E570" s="2047"/>
      <c r="F570" s="2047"/>
      <c r="G570" s="2047"/>
      <c r="H570" s="2047"/>
      <c r="I570" s="2047"/>
      <c r="J570" s="2047"/>
      <c r="K570" s="2047"/>
      <c r="L570" s="2047"/>
      <c r="M570" s="2047"/>
      <c r="N570" s="2047"/>
      <c r="O570" s="2047"/>
      <c r="P570" s="2047"/>
      <c r="Q570" s="578"/>
      <c r="R570" s="2047"/>
      <c r="S570" s="2047"/>
      <c r="T570" s="2047"/>
      <c r="U570" s="2047"/>
      <c r="V570" s="2047"/>
      <c r="W570" s="2047"/>
      <c r="X570" s="2047"/>
      <c r="Y570" s="2047"/>
      <c r="Z570" s="2047"/>
      <c r="AA570" s="2047"/>
      <c r="AB570" s="2047"/>
      <c r="AC570" s="2047"/>
      <c r="AD570" s="2047"/>
      <c r="AE570" s="2047"/>
      <c r="AF570" s="2047"/>
    </row>
    <row r="571" spans="2:32" ht="15" customHeight="1">
      <c r="B571" s="2047"/>
      <c r="C571" s="2047"/>
      <c r="D571" s="2047"/>
      <c r="E571" s="2047"/>
      <c r="F571" s="2047"/>
      <c r="G571" s="2047"/>
      <c r="H571" s="2047"/>
      <c r="I571" s="2047"/>
      <c r="J571" s="2047"/>
      <c r="K571" s="2047"/>
      <c r="L571" s="2047"/>
      <c r="M571" s="2047"/>
      <c r="N571" s="2047"/>
      <c r="O571" s="2047"/>
      <c r="P571" s="2047"/>
      <c r="Q571" s="578"/>
      <c r="R571" s="2047"/>
      <c r="S571" s="2047"/>
      <c r="T571" s="2047"/>
      <c r="U571" s="2047"/>
      <c r="V571" s="2047"/>
      <c r="W571" s="2047"/>
      <c r="X571" s="2047"/>
      <c r="Y571" s="2047"/>
      <c r="Z571" s="2047"/>
      <c r="AA571" s="2047"/>
      <c r="AB571" s="2047"/>
      <c r="AC571" s="2047"/>
      <c r="AD571" s="2047"/>
      <c r="AE571" s="2047"/>
      <c r="AF571" s="2047"/>
    </row>
    <row r="572" spans="2:32" ht="15" customHeight="1">
      <c r="B572" s="645"/>
      <c r="C572" s="645"/>
      <c r="D572" s="645"/>
      <c r="E572" s="645"/>
      <c r="F572" s="645"/>
      <c r="G572" s="645"/>
      <c r="H572" s="645"/>
      <c r="I572" s="645"/>
      <c r="J572" s="645"/>
      <c r="K572" s="645"/>
      <c r="L572" s="645"/>
      <c r="M572" s="645"/>
      <c r="N572" s="645"/>
      <c r="O572" s="645"/>
      <c r="P572" s="645"/>
      <c r="Q572" s="645"/>
      <c r="R572" s="645"/>
      <c r="S572" s="645"/>
      <c r="T572" s="645"/>
      <c r="U572" s="645"/>
      <c r="V572" s="645"/>
      <c r="W572" s="645"/>
      <c r="X572" s="645"/>
      <c r="Y572" s="645"/>
      <c r="Z572" s="645"/>
      <c r="AA572" s="645"/>
      <c r="AB572" s="645"/>
      <c r="AC572" s="645"/>
      <c r="AD572" s="645"/>
      <c r="AE572" s="645"/>
      <c r="AF572" s="645"/>
    </row>
    <row r="573" spans="2:32" ht="15" customHeight="1">
      <c r="B573" s="2075"/>
      <c r="C573" s="2075"/>
      <c r="D573" s="2075"/>
      <c r="E573" s="2075"/>
      <c r="F573" s="2075"/>
      <c r="G573" s="2075"/>
      <c r="H573" s="2075"/>
      <c r="I573" s="2075"/>
      <c r="J573" s="2075"/>
      <c r="K573" s="2075"/>
      <c r="L573" s="2075"/>
      <c r="M573" s="2075"/>
      <c r="N573" s="2075"/>
      <c r="O573" s="2075"/>
      <c r="P573" s="2075"/>
      <c r="Q573" s="580"/>
      <c r="R573" s="2075"/>
      <c r="S573" s="2075"/>
      <c r="T573" s="2075"/>
      <c r="U573" s="2075"/>
      <c r="V573" s="2075"/>
      <c r="W573" s="2075"/>
      <c r="X573" s="2075"/>
      <c r="Y573" s="2075"/>
      <c r="Z573" s="2075"/>
      <c r="AA573" s="2075"/>
      <c r="AB573" s="2075"/>
      <c r="AC573" s="2075"/>
      <c r="AD573" s="2075"/>
      <c r="AE573" s="2075"/>
      <c r="AF573" s="2075"/>
    </row>
    <row r="574" spans="2:32" ht="15" customHeight="1">
      <c r="B574" s="2075"/>
      <c r="C574" s="2075"/>
      <c r="D574" s="2075"/>
      <c r="E574" s="2075"/>
      <c r="F574" s="2075"/>
      <c r="G574" s="2075"/>
      <c r="H574" s="2075"/>
      <c r="I574" s="2075"/>
      <c r="J574" s="2075"/>
      <c r="K574" s="2075"/>
      <c r="L574" s="2075"/>
      <c r="M574" s="2075"/>
      <c r="N574" s="2075"/>
      <c r="O574" s="2075"/>
      <c r="P574" s="2075"/>
      <c r="Q574" s="580"/>
      <c r="R574" s="2075"/>
      <c r="S574" s="2075"/>
      <c r="T574" s="2075"/>
      <c r="U574" s="2075"/>
      <c r="V574" s="2075"/>
      <c r="W574" s="2075"/>
      <c r="X574" s="2075"/>
      <c r="Y574" s="2075"/>
      <c r="Z574" s="2075"/>
      <c r="AA574" s="2075"/>
      <c r="AB574" s="2075"/>
      <c r="AC574" s="2075"/>
      <c r="AD574" s="2075"/>
      <c r="AE574" s="2075"/>
      <c r="AF574" s="2075"/>
    </row>
    <row r="575" spans="2:32" ht="15" customHeight="1">
      <c r="B575" s="364"/>
      <c r="C575" s="364"/>
      <c r="D575" s="364"/>
      <c r="E575" s="364"/>
      <c r="F575" s="364"/>
      <c r="G575" s="364"/>
      <c r="H575" s="364"/>
      <c r="I575" s="364"/>
      <c r="J575" s="364"/>
      <c r="K575" s="364"/>
      <c r="L575" s="364"/>
      <c r="M575" s="364"/>
      <c r="N575" s="364"/>
      <c r="O575" s="364"/>
      <c r="P575" s="364"/>
      <c r="Q575" s="579"/>
      <c r="R575" s="364"/>
      <c r="S575" s="364"/>
      <c r="T575" s="364"/>
      <c r="U575" s="364"/>
      <c r="V575" s="364"/>
      <c r="W575" s="364"/>
      <c r="X575" s="364"/>
      <c r="Y575" s="364"/>
      <c r="Z575" s="364"/>
      <c r="AA575" s="364"/>
      <c r="AB575" s="364"/>
      <c r="AC575" s="364"/>
      <c r="AD575" s="364"/>
      <c r="AE575" s="364"/>
      <c r="AF575" s="364"/>
    </row>
    <row r="576" spans="2:32" ht="15" customHeight="1">
      <c r="B576" s="364"/>
      <c r="C576" s="364"/>
      <c r="D576" s="364"/>
      <c r="E576" s="364"/>
      <c r="F576" s="364"/>
      <c r="G576" s="364"/>
      <c r="H576" s="364"/>
      <c r="I576" s="364"/>
      <c r="J576" s="364"/>
      <c r="K576" s="364"/>
      <c r="L576" s="364"/>
      <c r="M576" s="364"/>
      <c r="N576" s="364"/>
      <c r="O576" s="364"/>
      <c r="P576" s="364"/>
      <c r="Q576" s="579"/>
      <c r="R576" s="364"/>
      <c r="S576" s="364"/>
      <c r="T576" s="364"/>
      <c r="U576" s="364"/>
      <c r="V576" s="364"/>
      <c r="W576" s="364"/>
      <c r="X576" s="364"/>
      <c r="Y576" s="364"/>
      <c r="Z576" s="364"/>
      <c r="AA576" s="364"/>
      <c r="AB576" s="364"/>
      <c r="AC576" s="364"/>
      <c r="AD576" s="364"/>
      <c r="AE576" s="364"/>
      <c r="AF576" s="364"/>
    </row>
    <row r="577" spans="2:67" ht="15" customHeight="1">
      <c r="B577" s="364"/>
      <c r="C577" s="364"/>
      <c r="D577" s="364"/>
      <c r="E577" s="364"/>
      <c r="F577" s="364"/>
      <c r="G577" s="364"/>
      <c r="H577" s="364"/>
      <c r="I577" s="364"/>
      <c r="J577" s="364"/>
      <c r="K577" s="364"/>
      <c r="L577" s="364"/>
      <c r="M577" s="364"/>
      <c r="N577" s="364"/>
      <c r="O577" s="364"/>
      <c r="P577" s="364"/>
      <c r="Q577" s="579"/>
      <c r="R577" s="364"/>
      <c r="S577" s="364"/>
      <c r="T577" s="364"/>
      <c r="U577" s="364"/>
      <c r="V577" s="364"/>
      <c r="W577" s="364"/>
      <c r="X577" s="364"/>
      <c r="Y577" s="364"/>
      <c r="Z577" s="364"/>
      <c r="AA577" s="364"/>
      <c r="AB577" s="364"/>
      <c r="AC577" s="364"/>
      <c r="AD577" s="364"/>
      <c r="AE577" s="364"/>
      <c r="AF577" s="364"/>
    </row>
    <row r="578" spans="2:67" ht="15" customHeight="1" thickBot="1">
      <c r="B578" s="583"/>
      <c r="C578" s="583"/>
      <c r="D578" s="583"/>
      <c r="E578" s="583"/>
      <c r="F578" s="583"/>
      <c r="G578" s="583"/>
      <c r="H578" s="583"/>
      <c r="I578" s="583"/>
      <c r="J578" s="583"/>
      <c r="K578" s="583"/>
      <c r="L578" s="583"/>
      <c r="M578" s="583"/>
      <c r="N578" s="583"/>
      <c r="O578" s="583"/>
      <c r="P578" s="583"/>
      <c r="Q578" s="583"/>
      <c r="R578" s="583"/>
      <c r="S578" s="583"/>
      <c r="T578" s="583"/>
      <c r="U578" s="583"/>
      <c r="V578" s="583"/>
      <c r="W578" s="583"/>
      <c r="X578" s="583"/>
      <c r="Y578" s="583"/>
      <c r="Z578" s="583"/>
      <c r="AA578" s="583"/>
      <c r="AB578" s="583"/>
      <c r="AC578" s="584"/>
      <c r="AD578" s="583"/>
      <c r="AE578" s="583"/>
      <c r="AF578" s="583"/>
    </row>
    <row r="579" spans="2:67" s="3" customFormat="1" ht="24.95" customHeight="1" thickTop="1">
      <c r="B579" s="2071"/>
      <c r="C579" s="2071"/>
      <c r="D579" s="2071"/>
      <c r="E579" s="2071"/>
      <c r="F579" s="2071"/>
      <c r="G579" s="2071"/>
      <c r="H579" s="2071"/>
      <c r="I579" s="2071"/>
      <c r="J579" s="2071"/>
      <c r="K579" s="2071"/>
      <c r="L579" s="2071"/>
      <c r="M579" s="2071"/>
      <c r="N579" s="2071"/>
      <c r="O579" s="2071"/>
      <c r="P579" s="2071"/>
      <c r="Q579" s="2071"/>
      <c r="R579" s="2071"/>
      <c r="S579" s="2071"/>
      <c r="T579" s="2071"/>
      <c r="U579" s="2071"/>
      <c r="V579" s="2071"/>
      <c r="W579" s="2071"/>
      <c r="X579" s="2071"/>
      <c r="Y579" s="2071"/>
      <c r="Z579" s="582"/>
      <c r="AA579" s="582"/>
      <c r="AB579" s="582"/>
      <c r="AC579" s="2072"/>
      <c r="AD579" s="2073"/>
      <c r="AE579" s="2073"/>
      <c r="AF579" s="2073"/>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row>
  </sheetData>
  <mergeCells count="765">
    <mergeCell ref="AL35:AO36"/>
    <mergeCell ref="Y82:AE82"/>
    <mergeCell ref="B168:D168"/>
    <mergeCell ref="E168:O168"/>
    <mergeCell ref="P168:S168"/>
    <mergeCell ref="T168:W168"/>
    <mergeCell ref="X168:Z168"/>
    <mergeCell ref="AA168:AC168"/>
    <mergeCell ref="AD168:AF168"/>
    <mergeCell ref="B165:D165"/>
    <mergeCell ref="E165:O165"/>
    <mergeCell ref="P165:S165"/>
    <mergeCell ref="T165:W165"/>
    <mergeCell ref="X165:Z165"/>
    <mergeCell ref="AA165:AC165"/>
    <mergeCell ref="B164:D164"/>
    <mergeCell ref="E164:O164"/>
    <mergeCell ref="P163:S163"/>
    <mergeCell ref="T163:W163"/>
    <mergeCell ref="X163:Z163"/>
    <mergeCell ref="AD165:AF165"/>
    <mergeCell ref="P164:S164"/>
    <mergeCell ref="T164:W164"/>
    <mergeCell ref="X164:Z164"/>
    <mergeCell ref="C264:AE264"/>
    <mergeCell ref="J266:N266"/>
    <mergeCell ref="O266:S266"/>
    <mergeCell ref="C262:I262"/>
    <mergeCell ref="O262:S262"/>
    <mergeCell ref="T262:AE262"/>
    <mergeCell ref="C258:AE258"/>
    <mergeCell ref="J260:N260"/>
    <mergeCell ref="O260:S260"/>
    <mergeCell ref="T266:AE266"/>
    <mergeCell ref="T260:AE260"/>
    <mergeCell ref="C261:I261"/>
    <mergeCell ref="J261:N262"/>
    <mergeCell ref="O261:S261"/>
    <mergeCell ref="T261:AE261"/>
    <mergeCell ref="AD227:AD228"/>
    <mergeCell ref="B239:D240"/>
    <mergeCell ref="E239:F240"/>
    <mergeCell ref="B237:D238"/>
    <mergeCell ref="E237:E238"/>
    <mergeCell ref="F237:F238"/>
    <mergeCell ref="R227:R228"/>
    <mergeCell ref="W227:W228"/>
    <mergeCell ref="H229:H230"/>
    <mergeCell ref="I229:I230"/>
    <mergeCell ref="J229:J230"/>
    <mergeCell ref="J227:J228"/>
    <mergeCell ref="K227:K228"/>
    <mergeCell ref="B227:D228"/>
    <mergeCell ref="E227:E228"/>
    <mergeCell ref="F227:F228"/>
    <mergeCell ref="B235:D236"/>
    <mergeCell ref="E235:E236"/>
    <mergeCell ref="F235:F236"/>
    <mergeCell ref="B229:D230"/>
    <mergeCell ref="E229:E230"/>
    <mergeCell ref="F229:F230"/>
    <mergeCell ref="G229:G230"/>
    <mergeCell ref="G234:L240"/>
    <mergeCell ref="Y219:Y220"/>
    <mergeCell ref="O231:P232"/>
    <mergeCell ref="Q231:R232"/>
    <mergeCell ref="AC231:AD232"/>
    <mergeCell ref="S229:S230"/>
    <mergeCell ref="T229:T230"/>
    <mergeCell ref="U229:U230"/>
    <mergeCell ref="V229:V230"/>
    <mergeCell ref="W229:W230"/>
    <mergeCell ref="X229:X230"/>
    <mergeCell ref="Y229:Y230"/>
    <mergeCell ref="Z229:Z230"/>
    <mergeCell ref="AA229:AA230"/>
    <mergeCell ref="Q223:R224"/>
    <mergeCell ref="P227:P228"/>
    <mergeCell ref="Q227:Q228"/>
    <mergeCell ref="AA231:AB232"/>
    <mergeCell ref="W231:X232"/>
    <mergeCell ref="Q229:Q230"/>
    <mergeCell ref="S227:S228"/>
    <mergeCell ref="AC229:AC230"/>
    <mergeCell ref="R229:R230"/>
    <mergeCell ref="O229:O230"/>
    <mergeCell ref="P229:P230"/>
    <mergeCell ref="AA164:AC164"/>
    <mergeCell ref="M231:N232"/>
    <mergeCell ref="M229:M230"/>
    <mergeCell ref="N229:N230"/>
    <mergeCell ref="Z219:Z220"/>
    <mergeCell ref="Y221:Y222"/>
    <mergeCell ref="Z221:Z222"/>
    <mergeCell ref="U219:U220"/>
    <mergeCell ref="V219:V220"/>
    <mergeCell ref="W219:W220"/>
    <mergeCell ref="X219:X220"/>
    <mergeCell ref="U213:Y213"/>
    <mergeCell ref="Z213:AF213"/>
    <mergeCell ref="B209:AF210"/>
    <mergeCell ref="B167:D167"/>
    <mergeCell ref="E167:O167"/>
    <mergeCell ref="AD164:AF164"/>
    <mergeCell ref="B231:D232"/>
    <mergeCell ref="E231:F232"/>
    <mergeCell ref="G231:H232"/>
    <mergeCell ref="I231:J232"/>
    <mergeCell ref="K231:L232"/>
    <mergeCell ref="S231:T232"/>
    <mergeCell ref="AB229:AB230"/>
    <mergeCell ref="B431:P442"/>
    <mergeCell ref="R431:AF442"/>
    <mergeCell ref="B444:P445"/>
    <mergeCell ref="R444:AF445"/>
    <mergeCell ref="B450:P461"/>
    <mergeCell ref="R450:AF461"/>
    <mergeCell ref="B412:P423"/>
    <mergeCell ref="R412:AF423"/>
    <mergeCell ref="B425:P427"/>
    <mergeCell ref="B338:X338"/>
    <mergeCell ref="B274:AF275"/>
    <mergeCell ref="Z338:AF338"/>
    <mergeCell ref="O267:S267"/>
    <mergeCell ref="J267:N268"/>
    <mergeCell ref="O268:S268"/>
    <mergeCell ref="T268:AE268"/>
    <mergeCell ref="R280:AF291"/>
    <mergeCell ref="Z272:AF272"/>
    <mergeCell ref="D277:AD277"/>
    <mergeCell ref="C267:I267"/>
    <mergeCell ref="R331:AF333"/>
    <mergeCell ref="B331:P333"/>
    <mergeCell ref="C268:I268"/>
    <mergeCell ref="T267:AE267"/>
    <mergeCell ref="B463:P464"/>
    <mergeCell ref="R463:AF464"/>
    <mergeCell ref="B318:P329"/>
    <mergeCell ref="R318:AF329"/>
    <mergeCell ref="B280:P291"/>
    <mergeCell ref="B312:P314"/>
    <mergeCell ref="R312:AF314"/>
    <mergeCell ref="B299:P310"/>
    <mergeCell ref="R299:AF310"/>
    <mergeCell ref="D343:AD343"/>
    <mergeCell ref="D409:AD409"/>
    <mergeCell ref="B404:X404"/>
    <mergeCell ref="Z404:AF404"/>
    <mergeCell ref="B406:AF407"/>
    <mergeCell ref="R425:AF427"/>
    <mergeCell ref="R293:AF295"/>
    <mergeCell ref="B293:P295"/>
    <mergeCell ref="B378:P380"/>
    <mergeCell ref="B397:P399"/>
    <mergeCell ref="R397:AF399"/>
    <mergeCell ref="B384:P395"/>
    <mergeCell ref="R384:AF395"/>
    <mergeCell ref="B346:P357"/>
    <mergeCell ref="R346:AF357"/>
    <mergeCell ref="K229:K230"/>
    <mergeCell ref="L229:L230"/>
    <mergeCell ref="B234:D234"/>
    <mergeCell ref="E234:F234"/>
    <mergeCell ref="T256:AE256"/>
    <mergeCell ref="C252:AE252"/>
    <mergeCell ref="J254:N254"/>
    <mergeCell ref="J255:N256"/>
    <mergeCell ref="O255:S255"/>
    <mergeCell ref="Y231:Z232"/>
    <mergeCell ref="U231:V232"/>
    <mergeCell ref="AD229:AD230"/>
    <mergeCell ref="O254:S254"/>
    <mergeCell ref="T254:AE254"/>
    <mergeCell ref="N242:R242"/>
    <mergeCell ref="C255:I255"/>
    <mergeCell ref="T255:AE255"/>
    <mergeCell ref="C242:F242"/>
    <mergeCell ref="H242:K242"/>
    <mergeCell ref="C256:I256"/>
    <mergeCell ref="O256:S256"/>
    <mergeCell ref="B223:D224"/>
    <mergeCell ref="E223:F224"/>
    <mergeCell ref="Y226:Z226"/>
    <mergeCell ref="AA226:AB226"/>
    <mergeCell ref="AC226:AD226"/>
    <mergeCell ref="N227:N228"/>
    <mergeCell ref="AB227:AB228"/>
    <mergeCell ref="AC227:AC228"/>
    <mergeCell ref="M227:M228"/>
    <mergeCell ref="G227:G228"/>
    <mergeCell ref="H227:H228"/>
    <mergeCell ref="I227:I228"/>
    <mergeCell ref="S226:T226"/>
    <mergeCell ref="B226:D226"/>
    <mergeCell ref="O227:O228"/>
    <mergeCell ref="U223:V224"/>
    <mergeCell ref="W223:X224"/>
    <mergeCell ref="Y223:Z224"/>
    <mergeCell ref="AA223:AB224"/>
    <mergeCell ref="AC223:AD224"/>
    <mergeCell ref="G226:H226"/>
    <mergeCell ref="I226:J226"/>
    <mergeCell ref="V227:V228"/>
    <mergeCell ref="X227:X228"/>
    <mergeCell ref="G223:H224"/>
    <mergeCell ref="I223:J224"/>
    <mergeCell ref="O223:P224"/>
    <mergeCell ref="U226:V226"/>
    <mergeCell ref="W226:X226"/>
    <mergeCell ref="K226:L226"/>
    <mergeCell ref="M226:N226"/>
    <mergeCell ref="O226:P226"/>
    <mergeCell ref="Q226:R226"/>
    <mergeCell ref="K223:L224"/>
    <mergeCell ref="M223:N224"/>
    <mergeCell ref="E219:E220"/>
    <mergeCell ref="F219:F220"/>
    <mergeCell ref="Q221:Q222"/>
    <mergeCell ref="S221:S222"/>
    <mergeCell ref="T221:T222"/>
    <mergeCell ref="R221:R222"/>
    <mergeCell ref="Q219:Q220"/>
    <mergeCell ref="R219:R220"/>
    <mergeCell ref="S219:S220"/>
    <mergeCell ref="G218:H218"/>
    <mergeCell ref="AA218:AB218"/>
    <mergeCell ref="AC218:AD218"/>
    <mergeCell ref="E217:AD217"/>
    <mergeCell ref="E218:F218"/>
    <mergeCell ref="S218:T218"/>
    <mergeCell ref="G212:T213"/>
    <mergeCell ref="Q218:R218"/>
    <mergeCell ref="L219:L220"/>
    <mergeCell ref="M219:M220"/>
    <mergeCell ref="N219:N220"/>
    <mergeCell ref="O219:O220"/>
    <mergeCell ref="P219:P220"/>
    <mergeCell ref="U212:Y212"/>
    <mergeCell ref="B214:F214"/>
    <mergeCell ref="G219:G220"/>
    <mergeCell ref="H219:H220"/>
    <mergeCell ref="I219:I220"/>
    <mergeCell ref="J219:J220"/>
    <mergeCell ref="T219:T220"/>
    <mergeCell ref="K219:K220"/>
    <mergeCell ref="B218:D218"/>
    <mergeCell ref="O218:P218"/>
    <mergeCell ref="B219:D220"/>
    <mergeCell ref="B166:D166"/>
    <mergeCell ref="E166:O166"/>
    <mergeCell ref="P166:S166"/>
    <mergeCell ref="T166:W166"/>
    <mergeCell ref="X166:Z166"/>
    <mergeCell ref="B201:AF201"/>
    <mergeCell ref="B202:AF204"/>
    <mergeCell ref="B212:F213"/>
    <mergeCell ref="Z212:AF212"/>
    <mergeCell ref="B206:AF206"/>
    <mergeCell ref="P167:S167"/>
    <mergeCell ref="T167:W167"/>
    <mergeCell ref="T162:W162"/>
    <mergeCell ref="X162:Z162"/>
    <mergeCell ref="AA162:AC162"/>
    <mergeCell ref="B163:D163"/>
    <mergeCell ref="E163:O163"/>
    <mergeCell ref="AD162:AF162"/>
    <mergeCell ref="B161:D161"/>
    <mergeCell ref="E161:O161"/>
    <mergeCell ref="P161:S161"/>
    <mergeCell ref="T161:W161"/>
    <mergeCell ref="X161:Z161"/>
    <mergeCell ref="AA161:AC161"/>
    <mergeCell ref="AD161:AF161"/>
    <mergeCell ref="AA163:AC163"/>
    <mergeCell ref="B162:D162"/>
    <mergeCell ref="E162:O162"/>
    <mergeCell ref="P162:S162"/>
    <mergeCell ref="AD158:AF158"/>
    <mergeCell ref="AD160:AF160"/>
    <mergeCell ref="B160:D160"/>
    <mergeCell ref="E160:O160"/>
    <mergeCell ref="P160:S160"/>
    <mergeCell ref="T160:W160"/>
    <mergeCell ref="X160:Z160"/>
    <mergeCell ref="AA160:AC160"/>
    <mergeCell ref="B159:D159"/>
    <mergeCell ref="E159:O159"/>
    <mergeCell ref="P159:S159"/>
    <mergeCell ref="T159:W159"/>
    <mergeCell ref="X159:Z159"/>
    <mergeCell ref="AA159:AC159"/>
    <mergeCell ref="T154:W154"/>
    <mergeCell ref="X154:Z154"/>
    <mergeCell ref="AA154:AC154"/>
    <mergeCell ref="B158:D158"/>
    <mergeCell ref="E158:O158"/>
    <mergeCell ref="P158:S158"/>
    <mergeCell ref="T158:W158"/>
    <mergeCell ref="X158:Z158"/>
    <mergeCell ref="AA158:AC158"/>
    <mergeCell ref="B157:D157"/>
    <mergeCell ref="E157:O157"/>
    <mergeCell ref="P157:S157"/>
    <mergeCell ref="T157:W157"/>
    <mergeCell ref="X157:Z157"/>
    <mergeCell ref="AA157:AC157"/>
    <mergeCell ref="B153:D153"/>
    <mergeCell ref="E153:O153"/>
    <mergeCell ref="P153:S153"/>
    <mergeCell ref="T153:W153"/>
    <mergeCell ref="X153:Z153"/>
    <mergeCell ref="AA153:AC153"/>
    <mergeCell ref="AD153:AF153"/>
    <mergeCell ref="B156:D156"/>
    <mergeCell ref="E156:O156"/>
    <mergeCell ref="P156:S156"/>
    <mergeCell ref="T156:W156"/>
    <mergeCell ref="X156:Z156"/>
    <mergeCell ref="AA156:AC156"/>
    <mergeCell ref="AD154:AF154"/>
    <mergeCell ref="B155:D155"/>
    <mergeCell ref="E155:O155"/>
    <mergeCell ref="P155:S155"/>
    <mergeCell ref="T155:W155"/>
    <mergeCell ref="X155:Z155"/>
    <mergeCell ref="AA155:AC155"/>
    <mergeCell ref="AD155:AF155"/>
    <mergeCell ref="B154:D154"/>
    <mergeCell ref="E154:O154"/>
    <mergeCell ref="P154:S154"/>
    <mergeCell ref="B149:F149"/>
    <mergeCell ref="G149:T149"/>
    <mergeCell ref="U149:Y149"/>
    <mergeCell ref="Z149:AF149"/>
    <mergeCell ref="B151:D152"/>
    <mergeCell ref="E151:O152"/>
    <mergeCell ref="P151:W151"/>
    <mergeCell ref="X151:AF151"/>
    <mergeCell ref="P152:S152"/>
    <mergeCell ref="T152:W152"/>
    <mergeCell ref="X152:Z152"/>
    <mergeCell ref="AA152:AC152"/>
    <mergeCell ref="AD152:AF152"/>
    <mergeCell ref="B124:F124"/>
    <mergeCell ref="B147:F148"/>
    <mergeCell ref="G147:T148"/>
    <mergeCell ref="U147:Y147"/>
    <mergeCell ref="Z147:AF147"/>
    <mergeCell ref="U148:Y148"/>
    <mergeCell ref="Z148:AF148"/>
    <mergeCell ref="Z142:AF142"/>
    <mergeCell ref="B144:AF145"/>
    <mergeCell ref="B141:AF141"/>
    <mergeCell ref="B137:AF139"/>
    <mergeCell ref="T119:W119"/>
    <mergeCell ref="B122:F122"/>
    <mergeCell ref="G122:S122"/>
    <mergeCell ref="T122:W122"/>
    <mergeCell ref="X122:Z122"/>
    <mergeCell ref="AA122:AC122"/>
    <mergeCell ref="AD122:AF122"/>
    <mergeCell ref="G123:S123"/>
    <mergeCell ref="T123:W123"/>
    <mergeCell ref="X123:Z123"/>
    <mergeCell ref="AA123:AC123"/>
    <mergeCell ref="AD123:AF123"/>
    <mergeCell ref="AD112:AF112"/>
    <mergeCell ref="B121:F121"/>
    <mergeCell ref="G121:S121"/>
    <mergeCell ref="T121:W121"/>
    <mergeCell ref="X121:Z121"/>
    <mergeCell ref="AA121:AC121"/>
    <mergeCell ref="AD121:AF121"/>
    <mergeCell ref="B118:F118"/>
    <mergeCell ref="G118:S118"/>
    <mergeCell ref="T118:W118"/>
    <mergeCell ref="X118:Z118"/>
    <mergeCell ref="AA118:AC118"/>
    <mergeCell ref="AD118:AF118"/>
    <mergeCell ref="B119:F119"/>
    <mergeCell ref="B120:F120"/>
    <mergeCell ref="G119:S119"/>
    <mergeCell ref="AA119:AC119"/>
    <mergeCell ref="AD119:AF119"/>
    <mergeCell ref="X119:Z119"/>
    <mergeCell ref="G120:S120"/>
    <mergeCell ref="T120:W120"/>
    <mergeCell ref="X120:Z120"/>
    <mergeCell ref="AA120:AC120"/>
    <mergeCell ref="AD120:AF120"/>
    <mergeCell ref="B91:F91"/>
    <mergeCell ref="G91:S91"/>
    <mergeCell ref="T91:W91"/>
    <mergeCell ref="X91:Z91"/>
    <mergeCell ref="AA91:AC91"/>
    <mergeCell ref="B38:AF39"/>
    <mergeCell ref="M43:AF43"/>
    <mergeCell ref="M44:AF44"/>
    <mergeCell ref="M45:AF45"/>
    <mergeCell ref="M58:Q58"/>
    <mergeCell ref="B79:AF80"/>
    <mergeCell ref="B82:F83"/>
    <mergeCell ref="AD88:AF88"/>
    <mergeCell ref="G90:S90"/>
    <mergeCell ref="T90:W90"/>
    <mergeCell ref="X90:Z90"/>
    <mergeCell ref="AA90:AC90"/>
    <mergeCell ref="AD90:AF90"/>
    <mergeCell ref="B41:L41"/>
    <mergeCell ref="B89:F89"/>
    <mergeCell ref="B90:F90"/>
    <mergeCell ref="B43:L43"/>
    <mergeCell ref="M51:Q51"/>
    <mergeCell ref="B44:L44"/>
    <mergeCell ref="B5:AF6"/>
    <mergeCell ref="B7:H8"/>
    <mergeCell ref="U7:AA7"/>
    <mergeCell ref="AB7:AF7"/>
    <mergeCell ref="B9:H9"/>
    <mergeCell ref="U8:AA8"/>
    <mergeCell ref="AB8:AF8"/>
    <mergeCell ref="B22:H23"/>
    <mergeCell ref="U22:AA22"/>
    <mergeCell ref="AB22:AF22"/>
    <mergeCell ref="U23:AA23"/>
    <mergeCell ref="AB23:AF23"/>
    <mergeCell ref="I7:T8"/>
    <mergeCell ref="M9:P9"/>
    <mergeCell ref="I11:AF16"/>
    <mergeCell ref="B11:H16"/>
    <mergeCell ref="B18:H18"/>
    <mergeCell ref="I18:T18"/>
    <mergeCell ref="M17:T17"/>
    <mergeCell ref="AB17:AF17"/>
    <mergeCell ref="U17:AA17"/>
    <mergeCell ref="B19:H19"/>
    <mergeCell ref="I19:T19"/>
    <mergeCell ref="I36:T36"/>
    <mergeCell ref="U36:AA36"/>
    <mergeCell ref="AB36:AF36"/>
    <mergeCell ref="B31:H35"/>
    <mergeCell ref="I31:AF35"/>
    <mergeCell ref="U25:AA25"/>
    <mergeCell ref="AB25:AF25"/>
    <mergeCell ref="U28:AA29"/>
    <mergeCell ref="AB28:AF29"/>
    <mergeCell ref="I29:T29"/>
    <mergeCell ref="I30:T30"/>
    <mergeCell ref="B92:F92"/>
    <mergeCell ref="G92:S92"/>
    <mergeCell ref="U30:AA30"/>
    <mergeCell ref="B20:AF21"/>
    <mergeCell ref="B36:H36"/>
    <mergeCell ref="M40:AF40"/>
    <mergeCell ref="B47:L47"/>
    <mergeCell ref="I22:T23"/>
    <mergeCell ref="BU152:BU167"/>
    <mergeCell ref="X167:Z167"/>
    <mergeCell ref="AA167:AC167"/>
    <mergeCell ref="AD167:AF167"/>
    <mergeCell ref="B113:F113"/>
    <mergeCell ref="G113:S113"/>
    <mergeCell ref="T113:W113"/>
    <mergeCell ref="X113:Z113"/>
    <mergeCell ref="AA113:AC113"/>
    <mergeCell ref="AD113:AF113"/>
    <mergeCell ref="G124:S124"/>
    <mergeCell ref="T124:W124"/>
    <mergeCell ref="X124:Z124"/>
    <mergeCell ref="AA124:AC124"/>
    <mergeCell ref="AD124:AF124"/>
    <mergeCell ref="B115:F115"/>
    <mergeCell ref="AA1:AF1"/>
    <mergeCell ref="Z77:AF77"/>
    <mergeCell ref="AB10:AF10"/>
    <mergeCell ref="B10:H10"/>
    <mergeCell ref="I10:T10"/>
    <mergeCell ref="I9:L9"/>
    <mergeCell ref="Q9:T9"/>
    <mergeCell ref="B3:AF4"/>
    <mergeCell ref="B37:H37"/>
    <mergeCell ref="I37:T37"/>
    <mergeCell ref="U9:AA9"/>
    <mergeCell ref="AB9:AF9"/>
    <mergeCell ref="AB30:AF30"/>
    <mergeCell ref="B24:H24"/>
    <mergeCell ref="U24:AA24"/>
    <mergeCell ref="AB24:AF24"/>
    <mergeCell ref="U37:AA37"/>
    <mergeCell ref="AB37:AF37"/>
    <mergeCell ref="U18:AA18"/>
    <mergeCell ref="AB18:AF18"/>
    <mergeCell ref="U19:AA19"/>
    <mergeCell ref="AB19:AF19"/>
    <mergeCell ref="B17:H17"/>
    <mergeCell ref="I17:L17"/>
    <mergeCell ref="M48:AF48"/>
    <mergeCell ref="B40:L40"/>
    <mergeCell ref="M41:AF41"/>
    <mergeCell ref="M42:AF42"/>
    <mergeCell ref="M46:AF46"/>
    <mergeCell ref="M55:AF55"/>
    <mergeCell ref="B85:F86"/>
    <mergeCell ref="G85:S86"/>
    <mergeCell ref="T85:W86"/>
    <mergeCell ref="X85:AF85"/>
    <mergeCell ref="B58:L58"/>
    <mergeCell ref="B48:L48"/>
    <mergeCell ref="M47:AF47"/>
    <mergeCell ref="B56:L56"/>
    <mergeCell ref="B57:L57"/>
    <mergeCell ref="X86:Z86"/>
    <mergeCell ref="AA86:AC86"/>
    <mergeCell ref="AD86:AF86"/>
    <mergeCell ref="B42:L42"/>
    <mergeCell ref="M56:AF56"/>
    <mergeCell ref="M57:AF57"/>
    <mergeCell ref="B45:L45"/>
    <mergeCell ref="B46:L46"/>
    <mergeCell ref="B55:L55"/>
    <mergeCell ref="B471:X471"/>
    <mergeCell ref="B93:F93"/>
    <mergeCell ref="Z471:AF471"/>
    <mergeCell ref="G93:S93"/>
    <mergeCell ref="T93:W93"/>
    <mergeCell ref="AD95:AF95"/>
    <mergeCell ref="B94:F94"/>
    <mergeCell ref="G94:S94"/>
    <mergeCell ref="G114:S114"/>
    <mergeCell ref="B123:F123"/>
    <mergeCell ref="AD93:AF93"/>
    <mergeCell ref="X115:Z115"/>
    <mergeCell ref="AA115:AC115"/>
    <mergeCell ref="AD115:AF115"/>
    <mergeCell ref="T110:W110"/>
    <mergeCell ref="X110:Z110"/>
    <mergeCell ref="AA110:AC110"/>
    <mergeCell ref="B109:F109"/>
    <mergeCell ref="AA111:AC111"/>
    <mergeCell ref="AD111:AF111"/>
    <mergeCell ref="B117:F117"/>
    <mergeCell ref="G117:S117"/>
    <mergeCell ref="T117:W117"/>
    <mergeCell ref="X117:Z117"/>
    <mergeCell ref="M49:Q49"/>
    <mergeCell ref="Z207:AF207"/>
    <mergeCell ref="AD91:AF91"/>
    <mergeCell ref="AD94:AF94"/>
    <mergeCell ref="G89:S89"/>
    <mergeCell ref="T89:W89"/>
    <mergeCell ref="X89:Z89"/>
    <mergeCell ref="AA89:AC89"/>
    <mergeCell ref="AD89:AF89"/>
    <mergeCell ref="AA108:AC108"/>
    <mergeCell ref="AD163:AF163"/>
    <mergeCell ref="AA166:AC166"/>
    <mergeCell ref="AD166:AF166"/>
    <mergeCell ref="G109:S109"/>
    <mergeCell ref="T109:W109"/>
    <mergeCell ref="X109:Z109"/>
    <mergeCell ref="AA109:AC109"/>
    <mergeCell ref="G108:S108"/>
    <mergeCell ref="T108:W108"/>
    <mergeCell ref="X108:Z108"/>
    <mergeCell ref="T92:W92"/>
    <mergeCell ref="X92:Z92"/>
    <mergeCell ref="AA92:AC92"/>
    <mergeCell ref="X114:Z114"/>
    <mergeCell ref="B579:Y579"/>
    <mergeCell ref="AC579:AF579"/>
    <mergeCell ref="B541:P552"/>
    <mergeCell ref="R541:AF552"/>
    <mergeCell ref="B554:P555"/>
    <mergeCell ref="R554:AF555"/>
    <mergeCell ref="B530:P531"/>
    <mergeCell ref="R530:AF531"/>
    <mergeCell ref="B536:Y536"/>
    <mergeCell ref="AC536:AF536"/>
    <mergeCell ref="B560:P571"/>
    <mergeCell ref="R560:AF571"/>
    <mergeCell ref="B573:P574"/>
    <mergeCell ref="R573:AF574"/>
    <mergeCell ref="B403:AF403"/>
    <mergeCell ref="B470:Y470"/>
    <mergeCell ref="AC470:AF470"/>
    <mergeCell ref="G84:S84"/>
    <mergeCell ref="T98:W98"/>
    <mergeCell ref="B87:AF87"/>
    <mergeCell ref="B84:F84"/>
    <mergeCell ref="B511:P512"/>
    <mergeCell ref="R511:AF512"/>
    <mergeCell ref="T111:W111"/>
    <mergeCell ref="X111:Z111"/>
    <mergeCell ref="AD97:AF97"/>
    <mergeCell ref="AA96:AC96"/>
    <mergeCell ref="B103:F103"/>
    <mergeCell ref="G103:S103"/>
    <mergeCell ref="B110:F110"/>
    <mergeCell ref="G110:S110"/>
    <mergeCell ref="X102:Z102"/>
    <mergeCell ref="AA102:AC102"/>
    <mergeCell ref="AD102:AF102"/>
    <mergeCell ref="B101:F101"/>
    <mergeCell ref="G101:S101"/>
    <mergeCell ref="T101:W101"/>
    <mergeCell ref="X101:Z101"/>
    <mergeCell ref="B517:P528"/>
    <mergeCell ref="R517:AF528"/>
    <mergeCell ref="AD92:AF92"/>
    <mergeCell ref="T94:W94"/>
    <mergeCell ref="X94:Z94"/>
    <mergeCell ref="B102:F102"/>
    <mergeCell ref="B492:P493"/>
    <mergeCell ref="R492:AF493"/>
    <mergeCell ref="B498:P509"/>
    <mergeCell ref="R498:AF509"/>
    <mergeCell ref="B479:P490"/>
    <mergeCell ref="R479:AF490"/>
    <mergeCell ref="B473:AF474"/>
    <mergeCell ref="B340:AF341"/>
    <mergeCell ref="B365:P376"/>
    <mergeCell ref="R365:AF376"/>
    <mergeCell ref="R359:AF361"/>
    <mergeCell ref="R378:AF380"/>
    <mergeCell ref="AA99:AC99"/>
    <mergeCell ref="AD99:AF99"/>
    <mergeCell ref="G102:S102"/>
    <mergeCell ref="T102:W102"/>
    <mergeCell ref="B111:F111"/>
    <mergeCell ref="G111:S111"/>
    <mergeCell ref="M50:Q50"/>
    <mergeCell ref="AA94:AC94"/>
    <mergeCell ref="B97:F97"/>
    <mergeCell ref="G97:S97"/>
    <mergeCell ref="T97:W97"/>
    <mergeCell ref="X97:Z97"/>
    <mergeCell ref="AA97:AC97"/>
    <mergeCell ref="X93:Z93"/>
    <mergeCell ref="AA93:AC93"/>
    <mergeCell ref="B95:F95"/>
    <mergeCell ref="G95:S95"/>
    <mergeCell ref="T95:W95"/>
    <mergeCell ref="X95:Z95"/>
    <mergeCell ref="AA95:AC95"/>
    <mergeCell ref="B88:F88"/>
    <mergeCell ref="G88:S88"/>
    <mergeCell ref="T88:W88"/>
    <mergeCell ref="X88:Z88"/>
    <mergeCell ref="AA88:AC88"/>
    <mergeCell ref="G82:S83"/>
    <mergeCell ref="B96:F96"/>
    <mergeCell ref="G96:S96"/>
    <mergeCell ref="T96:W96"/>
    <mergeCell ref="X96:Z96"/>
    <mergeCell ref="AD96:AF96"/>
    <mergeCell ref="B98:F98"/>
    <mergeCell ref="G98:S98"/>
    <mergeCell ref="X98:Z98"/>
    <mergeCell ref="AA98:AC98"/>
    <mergeCell ref="AD98:AF98"/>
    <mergeCell ref="B100:F100"/>
    <mergeCell ref="G100:S100"/>
    <mergeCell ref="T100:W100"/>
    <mergeCell ref="X100:Z100"/>
    <mergeCell ref="AA100:AC100"/>
    <mergeCell ref="AD100:AF100"/>
    <mergeCell ref="B99:F99"/>
    <mergeCell ref="G99:S99"/>
    <mergeCell ref="T99:W99"/>
    <mergeCell ref="B116:F116"/>
    <mergeCell ref="G116:S116"/>
    <mergeCell ref="T116:W116"/>
    <mergeCell ref="AA101:AC101"/>
    <mergeCell ref="B108:F108"/>
    <mergeCell ref="X99:Z99"/>
    <mergeCell ref="AD114:AF114"/>
    <mergeCell ref="T114:W114"/>
    <mergeCell ref="B136:AF136"/>
    <mergeCell ref="T107:W107"/>
    <mergeCell ref="X107:Z107"/>
    <mergeCell ref="AA107:AC107"/>
    <mergeCell ref="X116:Z116"/>
    <mergeCell ref="AA116:AC116"/>
    <mergeCell ref="AD116:AF116"/>
    <mergeCell ref="B112:F112"/>
    <mergeCell ref="B114:F114"/>
    <mergeCell ref="AA114:AC114"/>
    <mergeCell ref="G115:S115"/>
    <mergeCell ref="T115:W115"/>
    <mergeCell ref="G112:S112"/>
    <mergeCell ref="T112:W112"/>
    <mergeCell ref="X112:Z112"/>
    <mergeCell ref="AA112:AC112"/>
    <mergeCell ref="Y227:Y228"/>
    <mergeCell ref="Z227:Z228"/>
    <mergeCell ref="L227:L228"/>
    <mergeCell ref="AD107:AF107"/>
    <mergeCell ref="B104:F104"/>
    <mergeCell ref="G104:S104"/>
    <mergeCell ref="AA219:AA220"/>
    <mergeCell ref="AB219:AB220"/>
    <mergeCell ref="AC219:AC220"/>
    <mergeCell ref="AD219:AD220"/>
    <mergeCell ref="AA221:AA222"/>
    <mergeCell ref="AB221:AB222"/>
    <mergeCell ref="AC221:AC222"/>
    <mergeCell ref="AD221:AD222"/>
    <mergeCell ref="O221:O222"/>
    <mergeCell ref="P221:P222"/>
    <mergeCell ref="M218:N218"/>
    <mergeCell ref="K218:L218"/>
    <mergeCell ref="I218:J218"/>
    <mergeCell ref="G214:T214"/>
    <mergeCell ref="U214:Y214"/>
    <mergeCell ref="Z214:AF214"/>
    <mergeCell ref="AA117:AC117"/>
    <mergeCell ref="AD117:AF117"/>
    <mergeCell ref="B107:F107"/>
    <mergeCell ref="G107:S107"/>
    <mergeCell ref="E226:F226"/>
    <mergeCell ref="B359:P361"/>
    <mergeCell ref="B337:AF337"/>
    <mergeCell ref="B221:D222"/>
    <mergeCell ref="E221:E222"/>
    <mergeCell ref="F221:F222"/>
    <mergeCell ref="G221:G222"/>
    <mergeCell ref="H221:H222"/>
    <mergeCell ref="I221:I222"/>
    <mergeCell ref="J221:J222"/>
    <mergeCell ref="K221:K222"/>
    <mergeCell ref="L221:L222"/>
    <mergeCell ref="M221:M222"/>
    <mergeCell ref="N221:N222"/>
    <mergeCell ref="U221:U222"/>
    <mergeCell ref="V221:V222"/>
    <mergeCell ref="W221:W222"/>
    <mergeCell ref="X221:X222"/>
    <mergeCell ref="S223:T224"/>
    <mergeCell ref="AA227:AA228"/>
    <mergeCell ref="T227:T228"/>
    <mergeCell ref="U227:U228"/>
    <mergeCell ref="M53:AF53"/>
    <mergeCell ref="U26:AA27"/>
    <mergeCell ref="AB26:AF27"/>
    <mergeCell ref="B76:AF76"/>
    <mergeCell ref="B271:AF271"/>
    <mergeCell ref="AD101:AF101"/>
    <mergeCell ref="AD156:AF156"/>
    <mergeCell ref="AD157:AF157"/>
    <mergeCell ref="AD159:AF159"/>
    <mergeCell ref="U218:V218"/>
    <mergeCell ref="W218:X218"/>
    <mergeCell ref="Y218:Z218"/>
    <mergeCell ref="T104:W104"/>
    <mergeCell ref="X104:Z104"/>
    <mergeCell ref="AA104:AC104"/>
    <mergeCell ref="AD104:AF104"/>
    <mergeCell ref="T103:W103"/>
    <mergeCell ref="X103:Z103"/>
    <mergeCell ref="AA103:AC103"/>
    <mergeCell ref="AD103:AF103"/>
    <mergeCell ref="AD110:AF110"/>
    <mergeCell ref="AD109:AF109"/>
    <mergeCell ref="AD108:AF108"/>
    <mergeCell ref="B106:AF106"/>
  </mergeCells>
  <phoneticPr fontId="103" type="noConversion"/>
  <conditionalFormatting sqref="E219 F235 AJ241">
    <cfRule type="cellIs" dxfId="210" priority="25" stopIfTrue="1" operator="equal">
      <formula>0</formula>
    </cfRule>
    <cfRule type="cellIs" dxfId="209" priority="26" stopIfTrue="1" operator="equal">
      <formula>1</formula>
    </cfRule>
  </conditionalFormatting>
  <conditionalFormatting sqref="E227">
    <cfRule type="cellIs" dxfId="208" priority="115" stopIfTrue="1" operator="equal">
      <formula>0</formula>
    </cfRule>
    <cfRule type="cellIs" dxfId="207" priority="116" stopIfTrue="1" operator="equal">
      <formula>1</formula>
    </cfRule>
  </conditionalFormatting>
  <conditionalFormatting sqref="E235">
    <cfRule type="cellIs" dxfId="206" priority="87" stopIfTrue="1" operator="equal">
      <formula>0</formula>
    </cfRule>
    <cfRule type="cellIs" dxfId="205" priority="88" stopIfTrue="1" operator="equal">
      <formula>1</formula>
    </cfRule>
  </conditionalFormatting>
  <conditionalFormatting sqref="E219:F219">
    <cfRule type="cellIs" dxfId="204" priority="21" stopIfTrue="1" operator="equal">
      <formula>0</formula>
    </cfRule>
    <cfRule type="cellIs" dxfId="203" priority="22" stopIfTrue="1" operator="equal">
      <formula>1</formula>
    </cfRule>
  </conditionalFormatting>
  <conditionalFormatting sqref="E227:F227">
    <cfRule type="cellIs" dxfId="202" priority="111" stopIfTrue="1" operator="equal">
      <formula>0</formula>
    </cfRule>
    <cfRule type="cellIs" dxfId="201" priority="112" stopIfTrue="1" operator="equal">
      <formula>1</formula>
    </cfRule>
  </conditionalFormatting>
  <conditionalFormatting sqref="E235:F235">
    <cfRule type="cellIs" dxfId="200" priority="84" stopIfTrue="1" operator="equal">
      <formula>1</formula>
    </cfRule>
    <cfRule type="cellIs" dxfId="199" priority="83" stopIfTrue="1" operator="equal">
      <formula>0</formula>
    </cfRule>
  </conditionalFormatting>
  <conditionalFormatting sqref="E237:F237">
    <cfRule type="cellIs" dxfId="198" priority="79" stopIfTrue="1" operator="equal">
      <formula>0</formula>
    </cfRule>
    <cfRule type="cellIs" dxfId="197" priority="80" stopIfTrue="1" operator="equal">
      <formula>1</formula>
    </cfRule>
  </conditionalFormatting>
  <conditionalFormatting sqref="F219:P219 E221:P221">
    <cfRule type="cellIs" dxfId="196" priority="17" stopIfTrue="1" operator="equal">
      <formula>0</formula>
    </cfRule>
    <cfRule type="cellIs" dxfId="195" priority="18" stopIfTrue="1" operator="equal">
      <formula>1</formula>
    </cfRule>
  </conditionalFormatting>
  <conditionalFormatting sqref="F227:P227 E229:P229">
    <cfRule type="cellIs" dxfId="194" priority="107" stopIfTrue="1" operator="equal">
      <formula>0</formula>
    </cfRule>
    <cfRule type="cellIs" dxfId="193" priority="108" stopIfTrue="1" operator="equal">
      <formula>1</formula>
    </cfRule>
  </conditionalFormatting>
  <conditionalFormatting sqref="G229:V229 X229:AD229 G227:AD227">
    <cfRule type="cellIs" dxfId="192" priority="91" stopIfTrue="1" operator="equal">
      <formula>0</formula>
    </cfRule>
  </conditionalFormatting>
  <conditionalFormatting sqref="G219:AD219 G221:V221 X221:AD221">
    <cfRule type="cellIs" dxfId="191" priority="13" stopIfTrue="1" operator="equal">
      <formula>0</formula>
    </cfRule>
    <cfRule type="cellIs" dxfId="190" priority="14" stopIfTrue="1" operator="equal">
      <formula>1</formula>
    </cfRule>
  </conditionalFormatting>
  <conditionalFormatting sqref="G227:AD227 G229:V229 X229:AD229">
    <cfRule type="cellIs" dxfId="189" priority="92" stopIfTrue="1" operator="equal">
      <formula>1</formula>
    </cfRule>
  </conditionalFormatting>
  <conditionalFormatting sqref="M242">
    <cfRule type="cellIs" dxfId="188" priority="242" stopIfTrue="1" operator="equal">
      <formula>1</formula>
    </cfRule>
    <cfRule type="cellIs" dxfId="187" priority="241" stopIfTrue="1" operator="equal">
      <formula>0</formula>
    </cfRule>
  </conditionalFormatting>
  <conditionalFormatting sqref="Q219:AD219">
    <cfRule type="cellIs" dxfId="186" priority="12" stopIfTrue="1" operator="equal">
      <formula>1</formula>
    </cfRule>
  </conditionalFormatting>
  <conditionalFormatting sqref="Q219:AD221">
    <cfRule type="cellIs" dxfId="185" priority="9" stopIfTrue="1" operator="equal">
      <formula>0</formula>
    </cfRule>
  </conditionalFormatting>
  <conditionalFormatting sqref="Q221:AD221">
    <cfRule type="cellIs" dxfId="184" priority="10" stopIfTrue="1" operator="equal">
      <formula>1</formula>
    </cfRule>
  </conditionalFormatting>
  <conditionalFormatting sqref="Q227:AD227">
    <cfRule type="cellIs" dxfId="183" priority="1" stopIfTrue="1" operator="equal">
      <formula>0</formula>
    </cfRule>
    <cfRule type="cellIs" dxfId="182" priority="2" stopIfTrue="1" operator="equal">
      <formula>1</formula>
    </cfRule>
  </conditionalFormatting>
  <conditionalFormatting sqref="Q229:AD229">
    <cfRule type="cellIs" dxfId="181" priority="30" stopIfTrue="1" operator="equal">
      <formula>1</formula>
    </cfRule>
    <cfRule type="cellIs" dxfId="180" priority="29" stopIfTrue="1" operator="equal">
      <formula>0</formula>
    </cfRule>
  </conditionalFormatting>
  <conditionalFormatting sqref="W221">
    <cfRule type="cellIs" dxfId="179" priority="8" stopIfTrue="1" operator="equal">
      <formula>1</formula>
    </cfRule>
    <cfRule type="cellIs" dxfId="178" priority="7" stopIfTrue="1" operator="equal">
      <formula>0</formula>
    </cfRule>
  </conditionalFormatting>
  <conditionalFormatting sqref="W229">
    <cfRule type="cellIs" dxfId="177" priority="28" stopIfTrue="1" operator="equal">
      <formula>1</formula>
    </cfRule>
    <cfRule type="cellIs" dxfId="176" priority="27" stopIfTrue="1" operator="equal">
      <formula>0</formula>
    </cfRule>
  </conditionalFormatting>
  <conditionalFormatting sqref="AK220:AO220 AK222:AO222 G242">
    <cfRule type="cellIs" dxfId="175" priority="244" stopIfTrue="1" operator="equal">
      <formula>1</formula>
    </cfRule>
    <cfRule type="cellIs" dxfId="174" priority="243" stopIfTrue="1" operator="equal">
      <formula>0</formula>
    </cfRule>
  </conditionalFormatting>
  <conditionalFormatting sqref="AM220:AR220 AM222:AR222">
    <cfRule type="cellIs" dxfId="173" priority="36" stopIfTrue="1" operator="equal">
      <formula>1</formula>
    </cfRule>
    <cfRule type="cellIs" dxfId="172" priority="33" stopIfTrue="1" operator="equal">
      <formula>0</formula>
    </cfRule>
    <cfRule type="cellIs" dxfId="171" priority="35" stopIfTrue="1" operator="equal">
      <formula>0</formula>
    </cfRule>
    <cfRule type="cellIs" dxfId="170" priority="34" stopIfTrue="1" operator="equal">
      <formula>1</formula>
    </cfRule>
  </conditionalFormatting>
  <dataValidations disablePrompts="1" count="1">
    <dataValidation type="whole" allowBlank="1" showInputMessage="1" showErrorMessage="1" sqref="E235:F235 AL220:AR220 AL222:AR222 E229:AD229 E219:AD219 E221:AD221 E237:F237 AJ241 E227:AD227" xr:uid="{00000000-0002-0000-0000-000000000000}">
      <formula1>0</formula1>
      <formula2>1</formula2>
    </dataValidation>
  </dataValidations>
  <printOptions horizontalCentered="1"/>
  <pageMargins left="0.59055118110236227" right="0.39370078740157483" top="0.39370078740157483" bottom="0.39370078740157483" header="0.11811023622047245" footer="0.11811023622047245"/>
  <pageSetup paperSize="9" scale="80" fitToHeight="0" orientation="portrait" r:id="rId1"/>
  <rowBreaks count="5" manualBreakCount="5">
    <brk id="76" min="1" max="31" man="1"/>
    <brk id="141" min="1" max="31" man="1"/>
    <brk id="206" min="1" max="31" man="1"/>
    <brk id="271" min="1" max="31" man="1"/>
    <brk id="337" min="1" max="3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CBCD1-BFD9-4092-A8BF-85E6BCE2BE24}">
  <sheetPr>
    <tabColor rgb="FF002060"/>
  </sheetPr>
  <dimension ref="A1:Q100"/>
  <sheetViews>
    <sheetView view="pageBreakPreview" topLeftCell="A40" zoomScale="92" zoomScaleNormal="100" zoomScaleSheetLayoutView="92" workbookViewId="0">
      <selection activeCell="D11" sqref="D11"/>
    </sheetView>
  </sheetViews>
  <sheetFormatPr defaultColWidth="9.140625" defaultRowHeight="15"/>
  <cols>
    <col min="1" max="1" width="10.28515625" customWidth="1"/>
    <col min="2" max="2" width="81.5703125" customWidth="1"/>
    <col min="3" max="3" width="9.140625" style="405" customWidth="1"/>
    <col min="4" max="4" width="9.85546875" style="405" customWidth="1"/>
    <col min="5" max="5" width="9.5703125" style="405" customWidth="1"/>
  </cols>
  <sheetData>
    <row r="1" spans="1:17" ht="33.75" customHeight="1">
      <c r="A1" s="2589" t="s">
        <v>923</v>
      </c>
      <c r="B1" s="2590"/>
      <c r="C1" s="2590"/>
      <c r="D1" s="2590"/>
      <c r="E1" s="2591"/>
    </row>
    <row r="2" spans="1:17" ht="9" customHeight="1">
      <c r="A2" s="2599"/>
      <c r="B2" s="2599"/>
      <c r="C2" s="2599"/>
      <c r="D2" s="2599"/>
      <c r="E2" s="2599"/>
    </row>
    <row r="3" spans="1:17" s="343" customFormat="1" ht="15.75">
      <c r="A3" s="1330" t="s">
        <v>0</v>
      </c>
      <c r="B3" s="1331" t="s">
        <v>363</v>
      </c>
      <c r="C3" s="1330" t="s">
        <v>364</v>
      </c>
      <c r="D3" s="1330" t="s">
        <v>365</v>
      </c>
      <c r="E3" s="1332" t="s">
        <v>335</v>
      </c>
      <c r="F3" s="343" t="s">
        <v>393</v>
      </c>
      <c r="I3" s="830"/>
    </row>
    <row r="4" spans="1:17" ht="37.5" customHeight="1">
      <c r="A4" s="1458">
        <v>1</v>
      </c>
      <c r="B4" s="1333" t="s">
        <v>779</v>
      </c>
      <c r="C4" s="1334" t="s">
        <v>320</v>
      </c>
      <c r="D4" s="1335"/>
      <c r="E4" s="1335"/>
    </row>
    <row r="5" spans="1:17" ht="37.5" customHeight="1">
      <c r="A5" s="1458">
        <v>2</v>
      </c>
      <c r="B5" s="1333" t="s">
        <v>784</v>
      </c>
      <c r="C5" s="1334" t="s">
        <v>320</v>
      </c>
      <c r="D5" s="1335"/>
      <c r="E5" s="1335"/>
    </row>
    <row r="6" spans="1:17" ht="37.5" customHeight="1">
      <c r="A6" s="1458">
        <v>3</v>
      </c>
      <c r="B6" s="1333" t="s">
        <v>785</v>
      </c>
      <c r="C6" s="1334" t="s">
        <v>320</v>
      </c>
      <c r="D6" s="1335"/>
      <c r="E6" s="1335"/>
    </row>
    <row r="7" spans="1:17" ht="37.5" customHeight="1">
      <c r="A7" s="1458">
        <v>4</v>
      </c>
      <c r="B7" s="1333" t="s">
        <v>786</v>
      </c>
      <c r="C7" s="1334" t="s">
        <v>320</v>
      </c>
      <c r="D7" s="1335"/>
      <c r="E7" s="1335"/>
    </row>
    <row r="8" spans="1:17" ht="37.5" customHeight="1">
      <c r="A8" s="1461">
        <v>5</v>
      </c>
      <c r="B8" s="1333" t="s">
        <v>787</v>
      </c>
      <c r="C8" s="1335" t="s">
        <v>320</v>
      </c>
      <c r="D8" s="1335"/>
      <c r="E8" s="1335"/>
    </row>
    <row r="9" spans="1:17" ht="37.5" customHeight="1">
      <c r="A9" s="1461">
        <v>6</v>
      </c>
      <c r="B9" s="1333" t="s">
        <v>788</v>
      </c>
      <c r="C9" s="1335" t="s">
        <v>320</v>
      </c>
      <c r="D9" s="1335"/>
      <c r="E9" s="1335"/>
      <c r="Q9" s="1336"/>
    </row>
    <row r="10" spans="1:17" ht="37.5" customHeight="1">
      <c r="A10" s="1461">
        <v>7</v>
      </c>
      <c r="B10" s="1333" t="s">
        <v>789</v>
      </c>
      <c r="C10" s="1335" t="s">
        <v>320</v>
      </c>
      <c r="D10" s="1335"/>
      <c r="E10" s="1335"/>
    </row>
    <row r="11" spans="1:17" ht="37.5" customHeight="1">
      <c r="A11" s="1461">
        <v>8</v>
      </c>
      <c r="B11" s="1333" t="s">
        <v>790</v>
      </c>
      <c r="C11" s="1335" t="s">
        <v>320</v>
      </c>
      <c r="D11" s="1335"/>
      <c r="E11" s="1335"/>
    </row>
    <row r="12" spans="1:17" ht="37.5" customHeight="1">
      <c r="A12" s="1461">
        <v>9</v>
      </c>
      <c r="B12" s="1337" t="s">
        <v>791</v>
      </c>
      <c r="C12" s="1335" t="s">
        <v>320</v>
      </c>
      <c r="D12" s="1335"/>
      <c r="E12" s="1335"/>
    </row>
    <row r="13" spans="1:17" ht="37.5" customHeight="1">
      <c r="A13" s="1461">
        <v>10</v>
      </c>
      <c r="B13" s="1337" t="s">
        <v>792</v>
      </c>
      <c r="C13" s="1335"/>
      <c r="D13" s="1335"/>
      <c r="E13" s="1335" t="s">
        <v>320</v>
      </c>
    </row>
    <row r="14" spans="1:17" ht="37.5" customHeight="1">
      <c r="A14" s="1461">
        <v>11</v>
      </c>
      <c r="B14" s="1333" t="s">
        <v>793</v>
      </c>
      <c r="C14" s="1335" t="s">
        <v>320</v>
      </c>
      <c r="D14" s="1335"/>
      <c r="E14" s="1335"/>
    </row>
    <row r="15" spans="1:17" ht="37.5" customHeight="1">
      <c r="A15" s="1461">
        <v>12</v>
      </c>
      <c r="B15" s="1337" t="s">
        <v>794</v>
      </c>
      <c r="C15" s="1335" t="s">
        <v>320</v>
      </c>
      <c r="D15" s="1335"/>
      <c r="E15" s="1335"/>
    </row>
    <row r="16" spans="1:17" ht="37.5" customHeight="1">
      <c r="A16" s="1461">
        <v>13</v>
      </c>
      <c r="B16" s="1333" t="s">
        <v>795</v>
      </c>
      <c r="C16" s="1335" t="s">
        <v>320</v>
      </c>
      <c r="D16" s="1335"/>
      <c r="E16" s="1335"/>
    </row>
    <row r="17" spans="1:5" ht="37.5" customHeight="1">
      <c r="A17" s="1461">
        <v>14</v>
      </c>
      <c r="B17" s="1333" t="s">
        <v>796</v>
      </c>
      <c r="C17" s="1335" t="s">
        <v>320</v>
      </c>
      <c r="D17" s="1335"/>
      <c r="E17" s="1335"/>
    </row>
    <row r="18" spans="1:5" ht="37.5" customHeight="1">
      <c r="A18" s="1461">
        <v>15</v>
      </c>
      <c r="B18" s="1333" t="s">
        <v>797</v>
      </c>
      <c r="C18" s="1335" t="s">
        <v>320</v>
      </c>
      <c r="D18" s="1335"/>
      <c r="E18" s="1335"/>
    </row>
    <row r="19" spans="1:5" ht="37.5" customHeight="1">
      <c r="A19" s="1461">
        <v>16</v>
      </c>
      <c r="B19" s="1333" t="s">
        <v>798</v>
      </c>
      <c r="C19" s="1335" t="s">
        <v>320</v>
      </c>
      <c r="D19" s="1335"/>
      <c r="E19" s="1335"/>
    </row>
    <row r="20" spans="1:5" ht="37.5" customHeight="1">
      <c r="A20" s="1461">
        <v>17</v>
      </c>
      <c r="B20" s="1333" t="s">
        <v>799</v>
      </c>
      <c r="C20" s="1335" t="s">
        <v>320</v>
      </c>
      <c r="D20" s="1335"/>
      <c r="E20" s="1335"/>
    </row>
    <row r="21" spans="1:5" ht="37.5" customHeight="1">
      <c r="A21" s="1461">
        <v>18</v>
      </c>
      <c r="B21" s="1333" t="s">
        <v>800</v>
      </c>
      <c r="C21" s="1335" t="s">
        <v>320</v>
      </c>
      <c r="D21" s="1335"/>
      <c r="E21" s="1335"/>
    </row>
    <row r="22" spans="1:5" ht="37.5" customHeight="1">
      <c r="A22" s="1461">
        <v>19</v>
      </c>
      <c r="B22" s="1337" t="s">
        <v>801</v>
      </c>
      <c r="C22" s="1335" t="s">
        <v>320</v>
      </c>
      <c r="D22" s="1335"/>
      <c r="E22" s="1335"/>
    </row>
    <row r="23" spans="1:5" ht="37.5" customHeight="1">
      <c r="A23" s="1461">
        <v>20</v>
      </c>
      <c r="B23" s="1333" t="s">
        <v>802</v>
      </c>
      <c r="C23" s="1335"/>
      <c r="D23" s="1335" t="s">
        <v>320</v>
      </c>
      <c r="E23" s="1335"/>
    </row>
    <row r="24" spans="1:5" ht="37.5" customHeight="1">
      <c r="A24" s="1461">
        <v>21</v>
      </c>
      <c r="B24" s="1333" t="s">
        <v>803</v>
      </c>
      <c r="C24" s="1335" t="s">
        <v>320</v>
      </c>
      <c r="D24" s="1335"/>
      <c r="E24" s="1335"/>
    </row>
    <row r="25" spans="1:5" ht="37.5" customHeight="1">
      <c r="A25" s="1461">
        <v>22</v>
      </c>
      <c r="B25" s="1333" t="s">
        <v>804</v>
      </c>
      <c r="C25" s="1335" t="s">
        <v>320</v>
      </c>
      <c r="D25" s="1335"/>
      <c r="E25" s="1335"/>
    </row>
    <row r="26" spans="1:5" ht="37.5" customHeight="1">
      <c r="A26" s="1461">
        <v>23</v>
      </c>
      <c r="B26" s="1333" t="s">
        <v>805</v>
      </c>
      <c r="C26" s="1335" t="s">
        <v>320</v>
      </c>
      <c r="D26" s="1335"/>
      <c r="E26" s="1335"/>
    </row>
    <row r="27" spans="1:5" ht="37.5" customHeight="1">
      <c r="A27" s="1461">
        <v>24</v>
      </c>
      <c r="B27" s="1338" t="s">
        <v>806</v>
      </c>
      <c r="C27" s="1335" t="s">
        <v>320</v>
      </c>
      <c r="D27" s="1335"/>
      <c r="E27" s="1335"/>
    </row>
    <row r="28" spans="1:5" ht="37.5" customHeight="1">
      <c r="A28" s="1461">
        <v>25</v>
      </c>
      <c r="B28" s="1333" t="s">
        <v>807</v>
      </c>
      <c r="C28" s="1335" t="s">
        <v>320</v>
      </c>
      <c r="D28" s="1335"/>
      <c r="E28" s="1335"/>
    </row>
    <row r="29" spans="1:5" ht="37.5" customHeight="1">
      <c r="A29" s="1461">
        <v>26</v>
      </c>
      <c r="B29" s="1333" t="s">
        <v>808</v>
      </c>
      <c r="C29" s="1335" t="s">
        <v>320</v>
      </c>
      <c r="D29" s="1335"/>
      <c r="E29" s="1335"/>
    </row>
    <row r="30" spans="1:5" ht="37.5" customHeight="1">
      <c r="A30" s="1461">
        <v>27</v>
      </c>
      <c r="B30" s="1333" t="s">
        <v>809</v>
      </c>
      <c r="C30" s="1335" t="s">
        <v>320</v>
      </c>
      <c r="D30" s="1335"/>
      <c r="E30" s="1335"/>
    </row>
    <row r="31" spans="1:5" ht="37.5" customHeight="1">
      <c r="A31" s="1461">
        <v>28</v>
      </c>
      <c r="B31" s="1333" t="s">
        <v>810</v>
      </c>
      <c r="C31" s="1335" t="s">
        <v>320</v>
      </c>
      <c r="D31" s="1335"/>
      <c r="E31" s="1335"/>
    </row>
    <row r="32" spans="1:5" ht="37.5" customHeight="1">
      <c r="A32" s="1461">
        <v>29</v>
      </c>
      <c r="B32" s="1333" t="s">
        <v>811</v>
      </c>
      <c r="C32" s="1335" t="s">
        <v>320</v>
      </c>
      <c r="D32" s="1335"/>
      <c r="E32" s="1335"/>
    </row>
    <row r="33" spans="1:5" ht="37.5" customHeight="1">
      <c r="A33" s="1461">
        <v>30</v>
      </c>
      <c r="B33" s="1337" t="s">
        <v>812</v>
      </c>
      <c r="C33" s="1335" t="s">
        <v>320</v>
      </c>
      <c r="D33" s="1335"/>
      <c r="E33" s="1335"/>
    </row>
    <row r="34" spans="1:5" ht="37.5" customHeight="1">
      <c r="A34" s="1461">
        <v>31</v>
      </c>
      <c r="B34" s="1337" t="s">
        <v>813</v>
      </c>
      <c r="C34" s="1335" t="s">
        <v>320</v>
      </c>
      <c r="D34" s="1335"/>
      <c r="E34" s="1335"/>
    </row>
    <row r="35" spans="1:5" ht="37.5" customHeight="1">
      <c r="A35" s="1461">
        <v>32</v>
      </c>
      <c r="B35" s="1337" t="s">
        <v>814</v>
      </c>
      <c r="C35" s="1335" t="s">
        <v>320</v>
      </c>
      <c r="D35" s="1335"/>
      <c r="E35" s="1335"/>
    </row>
    <row r="36" spans="1:5" ht="37.5" customHeight="1">
      <c r="A36" s="1461">
        <v>33</v>
      </c>
      <c r="B36" s="1337" t="s">
        <v>815</v>
      </c>
      <c r="C36" s="1335" t="s">
        <v>320</v>
      </c>
      <c r="D36" s="1335"/>
      <c r="E36" s="1335"/>
    </row>
    <row r="37" spans="1:5" ht="37.5" customHeight="1">
      <c r="A37" s="1461">
        <v>34</v>
      </c>
      <c r="B37" s="1333" t="s">
        <v>816</v>
      </c>
      <c r="C37" s="1335" t="s">
        <v>621</v>
      </c>
      <c r="D37" s="1335"/>
      <c r="E37" s="1335"/>
    </row>
    <row r="38" spans="1:5" ht="37.5" customHeight="1">
      <c r="A38" s="1461">
        <v>35</v>
      </c>
      <c r="B38" s="1333" t="s">
        <v>817</v>
      </c>
      <c r="C38" s="1335" t="s">
        <v>320</v>
      </c>
      <c r="D38" s="1335"/>
      <c r="E38" s="1335"/>
    </row>
    <row r="39" spans="1:5" ht="37.5" customHeight="1">
      <c r="A39" s="1461">
        <v>36</v>
      </c>
      <c r="B39" s="1333" t="s">
        <v>818</v>
      </c>
      <c r="C39" s="1335" t="s">
        <v>320</v>
      </c>
      <c r="D39" s="1335"/>
      <c r="E39" s="1335"/>
    </row>
    <row r="40" spans="1:5" ht="37.5" customHeight="1">
      <c r="A40" s="1461">
        <v>37</v>
      </c>
      <c r="B40" s="1333" t="s">
        <v>819</v>
      </c>
      <c r="C40" s="1335" t="s">
        <v>320</v>
      </c>
      <c r="D40" s="1335"/>
      <c r="E40" s="1335"/>
    </row>
    <row r="41" spans="1:5" ht="37.5" customHeight="1">
      <c r="A41" s="1461">
        <v>38</v>
      </c>
      <c r="B41" s="1333" t="s">
        <v>820</v>
      </c>
      <c r="C41" s="1335" t="s">
        <v>320</v>
      </c>
      <c r="D41" s="1335"/>
      <c r="E41" s="1335"/>
    </row>
    <row r="42" spans="1:5" ht="37.5" customHeight="1">
      <c r="A42" s="1461">
        <v>39</v>
      </c>
      <c r="B42" s="1333" t="s">
        <v>821</v>
      </c>
      <c r="C42" s="1335" t="s">
        <v>320</v>
      </c>
      <c r="D42" s="1335"/>
      <c r="E42" s="1335"/>
    </row>
    <row r="43" spans="1:5" ht="37.5" customHeight="1">
      <c r="A43" s="1461">
        <v>40</v>
      </c>
      <c r="B43" s="1333" t="s">
        <v>822</v>
      </c>
      <c r="C43" s="1335" t="s">
        <v>320</v>
      </c>
      <c r="D43" s="1335"/>
      <c r="E43" s="1335"/>
    </row>
    <row r="44" spans="1:5" ht="37.5" customHeight="1">
      <c r="A44" s="1461">
        <v>41</v>
      </c>
      <c r="B44" s="1333" t="s">
        <v>823</v>
      </c>
      <c r="C44" s="1335" t="s">
        <v>320</v>
      </c>
      <c r="D44" s="1335"/>
      <c r="E44" s="1335"/>
    </row>
    <row r="45" spans="1:5" ht="37.5" customHeight="1">
      <c r="A45" s="1461">
        <v>42</v>
      </c>
      <c r="B45" s="1333" t="s">
        <v>824</v>
      </c>
      <c r="C45" s="1335" t="s">
        <v>320</v>
      </c>
      <c r="D45" s="1335"/>
      <c r="E45" s="1335"/>
    </row>
    <row r="46" spans="1:5" ht="37.5" customHeight="1">
      <c r="A46" s="1461">
        <v>43</v>
      </c>
      <c r="B46" s="1333" t="s">
        <v>825</v>
      </c>
      <c r="C46" s="1335"/>
      <c r="D46" s="1335" t="s">
        <v>320</v>
      </c>
      <c r="E46" s="1335"/>
    </row>
    <row r="47" spans="1:5" ht="37.5" customHeight="1">
      <c r="A47" s="1461">
        <v>44</v>
      </c>
      <c r="B47" s="1333" t="s">
        <v>826</v>
      </c>
      <c r="C47" s="1335" t="s">
        <v>320</v>
      </c>
      <c r="D47" s="1335"/>
      <c r="E47" s="1335"/>
    </row>
    <row r="48" spans="1:5" ht="37.5" customHeight="1">
      <c r="A48" s="1461">
        <v>45</v>
      </c>
      <c r="B48" s="1333" t="s">
        <v>895</v>
      </c>
      <c r="C48" s="1335" t="s">
        <v>320</v>
      </c>
      <c r="D48" s="1335"/>
      <c r="E48" s="1335"/>
    </row>
    <row r="49" spans="1:5" ht="37.5" customHeight="1">
      <c r="A49" s="1461">
        <v>46</v>
      </c>
      <c r="B49" s="1333" t="s">
        <v>827</v>
      </c>
      <c r="C49" s="1335" t="s">
        <v>320</v>
      </c>
      <c r="D49" s="1335"/>
      <c r="E49" s="1335"/>
    </row>
    <row r="50" spans="1:5" ht="37.5" customHeight="1">
      <c r="A50" s="1461">
        <v>47</v>
      </c>
      <c r="B50" s="1333" t="s">
        <v>828</v>
      </c>
      <c r="C50" s="1335" t="s">
        <v>320</v>
      </c>
      <c r="D50" s="1335"/>
      <c r="E50" s="1335"/>
    </row>
    <row r="51" spans="1:5" ht="37.5" customHeight="1">
      <c r="A51" s="1461">
        <v>48</v>
      </c>
      <c r="B51" s="1337" t="s">
        <v>829</v>
      </c>
      <c r="C51" s="1335" t="s">
        <v>320</v>
      </c>
      <c r="D51" s="1335"/>
      <c r="E51" s="1335"/>
    </row>
    <row r="52" spans="1:5" ht="37.5" customHeight="1">
      <c r="A52" s="1461">
        <v>49</v>
      </c>
      <c r="B52" s="1337" t="s">
        <v>830</v>
      </c>
      <c r="C52" s="1335" t="s">
        <v>320</v>
      </c>
      <c r="D52" s="1335"/>
      <c r="E52" s="1335"/>
    </row>
    <row r="53" spans="1:5" ht="37.5" customHeight="1">
      <c r="A53" s="1461">
        <v>50</v>
      </c>
      <c r="B53" s="1333" t="s">
        <v>831</v>
      </c>
      <c r="C53" s="1335" t="s">
        <v>320</v>
      </c>
      <c r="D53" s="1335"/>
      <c r="E53" s="1335"/>
    </row>
    <row r="54" spans="1:5" ht="37.5" customHeight="1">
      <c r="A54" s="1461">
        <v>51</v>
      </c>
      <c r="B54" s="1333" t="s">
        <v>832</v>
      </c>
      <c r="C54" s="1335" t="s">
        <v>320</v>
      </c>
      <c r="D54" s="1335"/>
      <c r="E54" s="1335"/>
    </row>
    <row r="55" spans="1:5" ht="37.5" customHeight="1">
      <c r="A55" s="1461">
        <v>52</v>
      </c>
      <c r="B55" s="1333" t="s">
        <v>833</v>
      </c>
      <c r="C55" s="1335" t="s">
        <v>320</v>
      </c>
      <c r="D55" s="1335"/>
      <c r="E55" s="1335"/>
    </row>
    <row r="56" spans="1:5" ht="37.5" customHeight="1">
      <c r="A56" s="1461">
        <v>53</v>
      </c>
      <c r="B56" s="1333" t="s">
        <v>834</v>
      </c>
      <c r="C56" s="1335" t="s">
        <v>320</v>
      </c>
      <c r="D56" s="1335"/>
      <c r="E56" s="1335"/>
    </row>
    <row r="57" spans="1:5" ht="37.5" customHeight="1">
      <c r="A57" s="1461">
        <v>54</v>
      </c>
      <c r="B57" s="1333" t="s">
        <v>835</v>
      </c>
      <c r="C57" s="1335" t="s">
        <v>320</v>
      </c>
      <c r="D57" s="1335"/>
      <c r="E57" s="1335"/>
    </row>
    <row r="58" spans="1:5" ht="37.5" customHeight="1">
      <c r="A58" s="1461">
        <v>55</v>
      </c>
      <c r="B58" s="1333" t="s">
        <v>836</v>
      </c>
      <c r="C58" s="1335" t="s">
        <v>320</v>
      </c>
      <c r="D58" s="1335"/>
      <c r="E58" s="1335"/>
    </row>
    <row r="59" spans="1:5" ht="37.5" customHeight="1">
      <c r="A59" s="1461">
        <v>56</v>
      </c>
      <c r="B59" s="1333" t="s">
        <v>837</v>
      </c>
      <c r="C59" s="1335" t="s">
        <v>320</v>
      </c>
      <c r="D59" s="1335"/>
      <c r="E59" s="1335"/>
    </row>
    <row r="60" spans="1:5" ht="37.5" customHeight="1">
      <c r="A60" s="1461">
        <v>57</v>
      </c>
      <c r="B60" s="1333" t="s">
        <v>838</v>
      </c>
      <c r="C60" s="1335" t="s">
        <v>320</v>
      </c>
      <c r="D60" s="1335"/>
      <c r="E60" s="1335"/>
    </row>
    <row r="61" spans="1:5" ht="37.5" customHeight="1">
      <c r="A61" s="1461">
        <v>58</v>
      </c>
      <c r="B61" s="1333" t="s">
        <v>839</v>
      </c>
      <c r="C61" s="1335" t="s">
        <v>320</v>
      </c>
      <c r="D61" s="1335"/>
      <c r="E61" s="1335"/>
    </row>
    <row r="62" spans="1:5" ht="37.5" customHeight="1">
      <c r="A62" s="1461">
        <v>59</v>
      </c>
      <c r="B62" s="1333" t="s">
        <v>840</v>
      </c>
      <c r="C62" s="1335" t="s">
        <v>320</v>
      </c>
      <c r="D62" s="1335"/>
      <c r="E62" s="1335"/>
    </row>
    <row r="63" spans="1:5" ht="37.5" customHeight="1">
      <c r="A63" s="1461">
        <v>60</v>
      </c>
      <c r="B63" s="1333" t="s">
        <v>841</v>
      </c>
      <c r="C63" s="1335" t="s">
        <v>320</v>
      </c>
      <c r="D63" s="1335"/>
      <c r="E63" s="1335"/>
    </row>
    <row r="64" spans="1:5" ht="37.5" customHeight="1">
      <c r="A64" s="1461">
        <v>61</v>
      </c>
      <c r="B64" s="1333" t="s">
        <v>842</v>
      </c>
      <c r="C64" s="1335" t="s">
        <v>320</v>
      </c>
      <c r="D64" s="1335"/>
      <c r="E64" s="1335"/>
    </row>
    <row r="65" spans="1:5" ht="37.5" customHeight="1">
      <c r="A65" s="1461">
        <v>62</v>
      </c>
      <c r="B65" s="1462" t="s">
        <v>843</v>
      </c>
      <c r="C65" s="1335" t="s">
        <v>320</v>
      </c>
      <c r="D65" s="1335"/>
      <c r="E65" s="1335"/>
    </row>
    <row r="66" spans="1:5" ht="37.5" customHeight="1">
      <c r="A66" s="1461">
        <v>63</v>
      </c>
      <c r="B66" s="1333" t="s">
        <v>844</v>
      </c>
      <c r="C66" s="1335"/>
      <c r="D66" s="1335" t="s">
        <v>320</v>
      </c>
      <c r="E66" s="1335"/>
    </row>
    <row r="67" spans="1:5" ht="37.5" customHeight="1">
      <c r="A67" s="1461">
        <v>64</v>
      </c>
      <c r="B67" s="1333" t="s">
        <v>845</v>
      </c>
      <c r="C67" s="1335" t="s">
        <v>320</v>
      </c>
      <c r="D67" s="1335"/>
      <c r="E67" s="1335"/>
    </row>
    <row r="68" spans="1:5" ht="37.5" customHeight="1">
      <c r="A68" s="1461">
        <v>65</v>
      </c>
      <c r="B68" s="1333" t="s">
        <v>846</v>
      </c>
      <c r="C68" s="1335" t="s">
        <v>320</v>
      </c>
      <c r="D68" s="1335"/>
      <c r="E68" s="1335"/>
    </row>
    <row r="69" spans="1:5" ht="37.5" customHeight="1">
      <c r="A69" s="1461">
        <v>66</v>
      </c>
      <c r="B69" s="1333" t="s">
        <v>847</v>
      </c>
      <c r="C69" s="1335" t="s">
        <v>320</v>
      </c>
      <c r="D69" s="1335"/>
      <c r="E69" s="1335"/>
    </row>
    <row r="70" spans="1:5" ht="37.5" customHeight="1">
      <c r="A70" s="1461">
        <v>67</v>
      </c>
      <c r="B70" s="1337" t="s">
        <v>848</v>
      </c>
      <c r="C70" s="1335" t="s">
        <v>320</v>
      </c>
      <c r="D70" s="1335"/>
      <c r="E70" s="1335"/>
    </row>
    <row r="71" spans="1:5" ht="37.5" customHeight="1">
      <c r="A71" s="1461">
        <v>68</v>
      </c>
      <c r="B71" s="1333" t="s">
        <v>896</v>
      </c>
      <c r="C71" s="1335"/>
      <c r="D71" s="1335"/>
      <c r="E71" s="1335" t="s">
        <v>320</v>
      </c>
    </row>
    <row r="72" spans="1:5" ht="37.5" customHeight="1">
      <c r="A72" s="1461">
        <v>69</v>
      </c>
      <c r="B72" s="1337" t="s">
        <v>849</v>
      </c>
      <c r="C72" s="1335"/>
      <c r="D72" s="1335"/>
      <c r="E72" s="1335" t="s">
        <v>320</v>
      </c>
    </row>
    <row r="73" spans="1:5" ht="37.5" customHeight="1">
      <c r="A73" s="1461">
        <v>70</v>
      </c>
      <c r="B73" s="1337" t="s">
        <v>850</v>
      </c>
      <c r="C73" s="1335"/>
      <c r="D73" s="1335"/>
      <c r="E73" s="1335" t="s">
        <v>320</v>
      </c>
    </row>
    <row r="74" spans="1:5" ht="37.5" customHeight="1">
      <c r="A74" s="1461">
        <v>71</v>
      </c>
      <c r="B74" s="1333" t="s">
        <v>851</v>
      </c>
      <c r="C74" s="1335"/>
      <c r="D74" s="1335"/>
      <c r="E74" s="1335" t="s">
        <v>320</v>
      </c>
    </row>
    <row r="75" spans="1:5" ht="37.5" customHeight="1">
      <c r="A75" s="1461">
        <v>72</v>
      </c>
      <c r="B75" s="1333" t="s">
        <v>852</v>
      </c>
      <c r="C75" s="1335"/>
      <c r="D75" s="1335"/>
      <c r="E75" s="1335" t="s">
        <v>320</v>
      </c>
    </row>
    <row r="76" spans="1:5" ht="37.5" customHeight="1">
      <c r="A76" s="1461">
        <v>73</v>
      </c>
      <c r="B76" s="1333" t="s">
        <v>853</v>
      </c>
      <c r="C76" s="1335"/>
      <c r="D76" s="1335"/>
      <c r="E76" s="1335" t="s">
        <v>320</v>
      </c>
    </row>
    <row r="77" spans="1:5" ht="37.5" customHeight="1">
      <c r="A77" s="1461">
        <v>74</v>
      </c>
      <c r="B77" s="1333" t="s">
        <v>854</v>
      </c>
      <c r="C77" s="1335"/>
      <c r="D77" s="1335"/>
      <c r="E77" s="1335" t="s">
        <v>320</v>
      </c>
    </row>
    <row r="78" spans="1:5" ht="37.5" customHeight="1">
      <c r="A78" s="1461">
        <v>75</v>
      </c>
      <c r="B78" s="1337" t="s">
        <v>855</v>
      </c>
      <c r="C78" s="1335" t="s">
        <v>320</v>
      </c>
      <c r="D78" s="1335"/>
      <c r="E78" s="1335"/>
    </row>
    <row r="79" spans="1:5" ht="37.5" customHeight="1">
      <c r="A79" s="1461">
        <v>76</v>
      </c>
      <c r="B79" s="1333" t="s">
        <v>856</v>
      </c>
      <c r="C79" s="1335" t="s">
        <v>320</v>
      </c>
      <c r="D79" s="1335"/>
      <c r="E79" s="1335"/>
    </row>
    <row r="80" spans="1:5" ht="37.5" customHeight="1">
      <c r="A80" s="1461">
        <v>77</v>
      </c>
      <c r="B80" s="1333" t="s">
        <v>857</v>
      </c>
      <c r="C80" s="1335" t="s">
        <v>320</v>
      </c>
      <c r="D80" s="1335"/>
      <c r="E80" s="1335"/>
    </row>
    <row r="81" spans="1:5" ht="37.5" customHeight="1">
      <c r="A81" s="1461">
        <v>78</v>
      </c>
      <c r="B81" s="1337" t="s">
        <v>858</v>
      </c>
      <c r="C81" s="1335" t="s">
        <v>320</v>
      </c>
      <c r="D81" s="1335"/>
      <c r="E81" s="1335"/>
    </row>
    <row r="82" spans="1:5" ht="37.5" customHeight="1">
      <c r="A82" s="1461">
        <v>79</v>
      </c>
      <c r="B82" s="1333" t="s">
        <v>859</v>
      </c>
      <c r="C82" s="1335"/>
      <c r="D82" s="1335"/>
      <c r="E82" s="1335" t="s">
        <v>320</v>
      </c>
    </row>
    <row r="83" spans="1:5" ht="37.5" customHeight="1">
      <c r="A83" s="1461">
        <v>80</v>
      </c>
      <c r="B83" s="1333" t="s">
        <v>860</v>
      </c>
      <c r="C83" s="1335"/>
      <c r="D83" s="1335"/>
      <c r="E83" s="1335" t="s">
        <v>320</v>
      </c>
    </row>
    <row r="84" spans="1:5" ht="37.5" customHeight="1">
      <c r="A84" s="1461">
        <v>81</v>
      </c>
      <c r="B84" s="1333" t="s">
        <v>897</v>
      </c>
      <c r="C84" s="1335"/>
      <c r="D84" s="1335"/>
      <c r="E84" s="1335" t="s">
        <v>320</v>
      </c>
    </row>
    <row r="85" spans="1:5" ht="37.5" customHeight="1">
      <c r="A85" s="1461">
        <v>82</v>
      </c>
      <c r="B85" s="1333" t="s">
        <v>861</v>
      </c>
      <c r="C85" s="1335"/>
      <c r="D85" s="1335"/>
      <c r="E85" s="1335" t="s">
        <v>621</v>
      </c>
    </row>
    <row r="86" spans="1:5" ht="37.5" customHeight="1">
      <c r="A86" s="1461">
        <v>83</v>
      </c>
      <c r="B86" s="1333" t="s">
        <v>862</v>
      </c>
      <c r="C86" s="1335" t="s">
        <v>320</v>
      </c>
      <c r="D86" s="1335"/>
      <c r="E86" s="1335"/>
    </row>
    <row r="87" spans="1:5" ht="37.5" customHeight="1">
      <c r="A87" s="1461">
        <v>84</v>
      </c>
      <c r="B87" s="1333" t="s">
        <v>863</v>
      </c>
      <c r="C87" s="1335" t="s">
        <v>320</v>
      </c>
      <c r="D87" s="1335"/>
      <c r="E87" s="1335"/>
    </row>
    <row r="88" spans="1:5" ht="37.5" customHeight="1">
      <c r="A88" s="1461">
        <v>85</v>
      </c>
      <c r="B88" s="1337" t="s">
        <v>864</v>
      </c>
      <c r="C88" s="1335" t="s">
        <v>320</v>
      </c>
      <c r="D88" s="1335"/>
      <c r="E88" s="1335"/>
    </row>
    <row r="89" spans="1:5" ht="37.5" customHeight="1">
      <c r="A89" s="1461">
        <v>86</v>
      </c>
      <c r="B89" s="1337" t="s">
        <v>865</v>
      </c>
      <c r="C89" s="1335" t="s">
        <v>320</v>
      </c>
      <c r="D89" s="1335"/>
      <c r="E89" s="1335"/>
    </row>
    <row r="90" spans="1:5" ht="37.5" customHeight="1">
      <c r="A90" s="1461">
        <v>87</v>
      </c>
      <c r="B90" s="1333" t="s">
        <v>866</v>
      </c>
      <c r="C90" s="1335" t="s">
        <v>320</v>
      </c>
      <c r="D90" s="1335"/>
      <c r="E90" s="1335"/>
    </row>
    <row r="91" spans="1:5" ht="37.5" customHeight="1">
      <c r="A91" s="1461">
        <v>88</v>
      </c>
      <c r="B91" s="1337" t="s">
        <v>867</v>
      </c>
      <c r="C91" s="1335" t="s">
        <v>320</v>
      </c>
      <c r="D91" s="1335"/>
      <c r="E91" s="1335"/>
    </row>
    <row r="92" spans="1:5" ht="37.5" customHeight="1">
      <c r="A92" s="1461">
        <v>89</v>
      </c>
      <c r="B92" s="1333" t="s">
        <v>868</v>
      </c>
      <c r="C92" s="1335" t="s">
        <v>320</v>
      </c>
      <c r="D92" s="1335"/>
      <c r="E92" s="1335"/>
    </row>
    <row r="93" spans="1:5" ht="37.5" customHeight="1">
      <c r="A93" s="1461">
        <v>90</v>
      </c>
      <c r="B93" s="1333" t="s">
        <v>869</v>
      </c>
      <c r="C93" s="1335" t="s">
        <v>320</v>
      </c>
      <c r="D93" s="1335"/>
      <c r="E93" s="1335"/>
    </row>
    <row r="94" spans="1:5" ht="37.5" customHeight="1">
      <c r="A94" s="1461">
        <v>91</v>
      </c>
      <c r="B94" s="1333" t="s">
        <v>870</v>
      </c>
      <c r="C94" s="1335" t="s">
        <v>320</v>
      </c>
      <c r="D94" s="1335"/>
      <c r="E94" s="1335"/>
    </row>
    <row r="95" spans="1:5" ht="37.5" customHeight="1">
      <c r="A95" s="1461">
        <v>92</v>
      </c>
      <c r="B95" s="1337" t="s">
        <v>871</v>
      </c>
      <c r="C95" s="1335" t="s">
        <v>320</v>
      </c>
      <c r="D95" s="1335"/>
      <c r="E95" s="1335"/>
    </row>
    <row r="96" spans="1:5" ht="37.5" customHeight="1">
      <c r="A96" s="1461">
        <v>93</v>
      </c>
      <c r="B96" s="1337" t="s">
        <v>872</v>
      </c>
      <c r="C96" s="1335"/>
      <c r="D96" s="1335"/>
      <c r="E96" s="1335" t="s">
        <v>320</v>
      </c>
    </row>
    <row r="97" spans="1:5" ht="37.5" customHeight="1">
      <c r="A97" s="1461">
        <v>94</v>
      </c>
      <c r="B97" s="1337" t="s">
        <v>873</v>
      </c>
      <c r="C97" s="1335"/>
      <c r="D97" s="1335"/>
      <c r="E97" s="1335" t="s">
        <v>320</v>
      </c>
    </row>
    <row r="98" spans="1:5" ht="37.5" customHeight="1">
      <c r="A98" s="1461">
        <v>95</v>
      </c>
      <c r="B98" s="1333" t="s">
        <v>874</v>
      </c>
      <c r="C98" s="1335" t="s">
        <v>320</v>
      </c>
      <c r="D98" s="1335"/>
      <c r="E98" s="1335"/>
    </row>
    <row r="99" spans="1:5" ht="37.5" customHeight="1">
      <c r="A99" s="2600" t="s">
        <v>924</v>
      </c>
      <c r="B99" s="2601"/>
      <c r="C99" s="2601"/>
      <c r="D99" s="2601"/>
      <c r="E99" s="2602"/>
    </row>
    <row r="100" spans="1:5" ht="17.25" customHeight="1">
      <c r="A100" s="2603"/>
      <c r="B100" s="2604"/>
      <c r="C100" s="2604"/>
      <c r="D100" s="2604"/>
      <c r="E100" s="2605"/>
    </row>
  </sheetData>
  <mergeCells count="3">
    <mergeCell ref="A1:E1"/>
    <mergeCell ref="A2:E2"/>
    <mergeCell ref="A99:E100"/>
  </mergeCells>
  <pageMargins left="0.511811024" right="0.511811024" top="0.78740157499999996" bottom="0.78740157499999996" header="0.31496062000000002" footer="0.31496062000000002"/>
  <pageSetup paperSize="9" scale="7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16EF5-B1E1-4459-BA08-B8ABF6993B0E}">
  <sheetPr>
    <tabColor rgb="FF002060"/>
    <pageSetUpPr fitToPage="1"/>
  </sheetPr>
  <dimension ref="A1:I397"/>
  <sheetViews>
    <sheetView view="pageBreakPreview" topLeftCell="A12" zoomScale="98" zoomScaleNormal="80" zoomScaleSheetLayoutView="98" workbookViewId="0">
      <selection activeCell="H12" sqref="H12"/>
    </sheetView>
  </sheetViews>
  <sheetFormatPr defaultColWidth="9.140625" defaultRowHeight="15"/>
  <cols>
    <col min="1" max="1" width="41.5703125" style="1464" customWidth="1"/>
    <col min="2" max="2" width="12.7109375" style="1464" bestFit="1" customWidth="1"/>
    <col min="3" max="3" width="54.140625" style="1656" bestFit="1" customWidth="1"/>
    <col min="4" max="4" width="54" style="1656" customWidth="1"/>
    <col min="5" max="16384" width="9.140625" style="692"/>
  </cols>
  <sheetData>
    <row r="1" spans="1:9" s="688" customFormat="1" ht="33.75" customHeight="1">
      <c r="A1" s="2606" t="s">
        <v>769</v>
      </c>
      <c r="B1" s="2606"/>
      <c r="C1" s="2606"/>
      <c r="D1" s="2606"/>
    </row>
    <row r="2" spans="1:9" s="689" customFormat="1" ht="9" customHeight="1">
      <c r="A2" s="2607"/>
      <c r="B2" s="2607"/>
      <c r="C2" s="2607"/>
      <c r="D2" s="2607"/>
    </row>
    <row r="3" spans="1:9" s="690" customFormat="1" ht="15.75">
      <c r="A3" s="1270" t="s">
        <v>329</v>
      </c>
      <c r="B3" s="1270" t="s">
        <v>330</v>
      </c>
      <c r="C3" s="1459" t="s">
        <v>331</v>
      </c>
      <c r="D3" s="1459" t="s">
        <v>332</v>
      </c>
      <c r="F3" s="691"/>
    </row>
    <row r="4" spans="1:9" ht="24" customHeight="1">
      <c r="A4" s="1081" t="s">
        <v>541</v>
      </c>
      <c r="B4" s="916" t="s">
        <v>333</v>
      </c>
      <c r="C4" s="1652" t="s">
        <v>622</v>
      </c>
      <c r="D4" s="1652" t="s">
        <v>545</v>
      </c>
      <c r="F4" s="693"/>
      <c r="G4" s="693"/>
      <c r="H4" s="693"/>
      <c r="I4" s="693"/>
    </row>
    <row r="5" spans="1:9" ht="57.75" customHeight="1">
      <c r="A5" s="1081" t="s">
        <v>542</v>
      </c>
      <c r="B5" s="916" t="s">
        <v>333</v>
      </c>
      <c r="C5" s="930" t="s">
        <v>997</v>
      </c>
      <c r="D5" s="930" t="s">
        <v>545</v>
      </c>
      <c r="F5" s="693"/>
      <c r="G5" s="693"/>
      <c r="H5" s="693"/>
      <c r="I5" s="693"/>
    </row>
    <row r="6" spans="1:9" ht="42.75" customHeight="1">
      <c r="A6" s="1081" t="s">
        <v>543</v>
      </c>
      <c r="B6" s="916" t="s">
        <v>333</v>
      </c>
      <c r="C6" s="1652" t="s">
        <v>545</v>
      </c>
      <c r="D6" s="1652" t="s">
        <v>770</v>
      </c>
      <c r="F6" s="693"/>
      <c r="G6" s="693"/>
      <c r="H6" s="693"/>
      <c r="I6" s="693"/>
    </row>
    <row r="7" spans="1:9" ht="41.25" customHeight="1">
      <c r="A7" s="1081" t="s">
        <v>544</v>
      </c>
      <c r="B7" s="916" t="s">
        <v>335</v>
      </c>
      <c r="C7" s="930" t="s">
        <v>636</v>
      </c>
      <c r="D7" s="1652" t="s">
        <v>545</v>
      </c>
      <c r="F7" s="693"/>
      <c r="G7" s="693"/>
      <c r="H7" s="693"/>
      <c r="I7" s="693"/>
    </row>
    <row r="8" spans="1:9" ht="20.25" customHeight="1">
      <c r="A8" s="1081" t="s">
        <v>546</v>
      </c>
      <c r="B8" s="916" t="s">
        <v>335</v>
      </c>
      <c r="C8" s="1652" t="s">
        <v>637</v>
      </c>
      <c r="D8" s="1653" t="s">
        <v>545</v>
      </c>
      <c r="F8" s="693"/>
      <c r="G8" s="693"/>
      <c r="H8" s="693"/>
      <c r="I8" s="693"/>
    </row>
    <row r="9" spans="1:9" ht="18" customHeight="1">
      <c r="A9" s="1081" t="s">
        <v>547</v>
      </c>
      <c r="B9" s="916" t="s">
        <v>335</v>
      </c>
      <c r="C9" s="1652" t="s">
        <v>641</v>
      </c>
      <c r="D9" s="929" t="s">
        <v>625</v>
      </c>
      <c r="F9" s="693"/>
      <c r="G9" s="693"/>
      <c r="H9" s="693"/>
      <c r="I9" s="693"/>
    </row>
    <row r="10" spans="1:9" ht="41.25" customHeight="1">
      <c r="A10" s="928" t="s">
        <v>629</v>
      </c>
      <c r="B10" s="916" t="s">
        <v>333</v>
      </c>
      <c r="C10" s="1652" t="s">
        <v>642</v>
      </c>
      <c r="D10" s="1652" t="s">
        <v>600</v>
      </c>
      <c r="F10" s="693"/>
      <c r="G10" s="693"/>
      <c r="H10" s="693"/>
      <c r="I10" s="693"/>
    </row>
    <row r="11" spans="1:9" ht="33" customHeight="1">
      <c r="A11" s="928" t="s">
        <v>630</v>
      </c>
      <c r="B11" s="916" t="s">
        <v>333</v>
      </c>
      <c r="C11" s="1652" t="s">
        <v>548</v>
      </c>
      <c r="D11" s="1652" t="s">
        <v>549</v>
      </c>
      <c r="F11" s="693"/>
      <c r="G11" s="693"/>
      <c r="H11" s="693"/>
      <c r="I11" s="693"/>
    </row>
    <row r="12" spans="1:9" ht="30.75" customHeight="1">
      <c r="A12" s="928" t="s">
        <v>631</v>
      </c>
      <c r="B12" s="916" t="s">
        <v>333</v>
      </c>
      <c r="C12" s="1652" t="s">
        <v>638</v>
      </c>
      <c r="D12" s="1652" t="s">
        <v>626</v>
      </c>
      <c r="F12" s="693"/>
      <c r="G12" s="693"/>
      <c r="H12" s="693"/>
      <c r="I12" s="693"/>
    </row>
    <row r="13" spans="1:9" ht="42" customHeight="1">
      <c r="A13" s="928" t="s">
        <v>632</v>
      </c>
      <c r="B13" s="916" t="s">
        <v>333</v>
      </c>
      <c r="C13" s="1652" t="s">
        <v>550</v>
      </c>
      <c r="D13" s="1652" t="s">
        <v>894</v>
      </c>
      <c r="F13" s="693"/>
      <c r="G13" s="693"/>
      <c r="H13" s="693"/>
      <c r="I13" s="693"/>
    </row>
    <row r="14" spans="1:9" ht="25.5">
      <c r="A14" s="928" t="s">
        <v>771</v>
      </c>
      <c r="B14" s="916" t="s">
        <v>333</v>
      </c>
      <c r="C14" s="930" t="s">
        <v>998</v>
      </c>
      <c r="D14" s="930" t="s">
        <v>545</v>
      </c>
      <c r="F14" s="693"/>
      <c r="G14" s="693"/>
      <c r="H14" s="693"/>
      <c r="I14" s="693"/>
    </row>
    <row r="15" spans="1:9" ht="30" customHeight="1">
      <c r="A15" s="928" t="s">
        <v>634</v>
      </c>
      <c r="B15" s="916" t="s">
        <v>333</v>
      </c>
      <c r="C15" s="1652" t="s">
        <v>772</v>
      </c>
      <c r="D15" s="1652" t="s">
        <v>545</v>
      </c>
      <c r="F15" s="693"/>
      <c r="G15" s="693"/>
      <c r="H15" s="693"/>
      <c r="I15" s="693"/>
    </row>
    <row r="16" spans="1:9" ht="94.5" customHeight="1">
      <c r="A16" s="928" t="s">
        <v>635</v>
      </c>
      <c r="B16" s="916" t="s">
        <v>333</v>
      </c>
      <c r="C16" s="1652" t="s">
        <v>773</v>
      </c>
      <c r="D16" s="1652" t="s">
        <v>551</v>
      </c>
      <c r="F16" s="693"/>
      <c r="G16" s="693"/>
      <c r="H16" s="693"/>
      <c r="I16" s="693"/>
    </row>
    <row r="17" spans="1:9" ht="30.75" customHeight="1">
      <c r="A17" s="1079" t="s">
        <v>361</v>
      </c>
      <c r="B17" s="916" t="s">
        <v>333</v>
      </c>
      <c r="C17" s="1654" t="s">
        <v>925</v>
      </c>
      <c r="D17" s="1654" t="s">
        <v>553</v>
      </c>
      <c r="F17" s="693"/>
      <c r="G17" s="693"/>
      <c r="H17" s="693"/>
      <c r="I17" s="693"/>
    </row>
    <row r="18" spans="1:9" ht="17.25" customHeight="1">
      <c r="A18" s="694"/>
      <c r="B18" s="694"/>
      <c r="C18" s="695"/>
      <c r="D18" s="695"/>
    </row>
    <row r="19" spans="1:9">
      <c r="A19" s="1463"/>
      <c r="B19" s="1463"/>
      <c r="C19" s="1655"/>
      <c r="D19" s="1655"/>
    </row>
    <row r="20" spans="1:9">
      <c r="A20" s="1463"/>
      <c r="B20" s="1463"/>
      <c r="C20" s="1655"/>
      <c r="D20" s="1655"/>
    </row>
    <row r="21" spans="1:9">
      <c r="A21" s="1463"/>
      <c r="B21" s="1463"/>
      <c r="C21" s="1655"/>
      <c r="D21" s="1655"/>
    </row>
    <row r="22" spans="1:9">
      <c r="A22" s="1463"/>
      <c r="B22" s="1463"/>
      <c r="C22" s="1655"/>
      <c r="D22" s="1655"/>
    </row>
    <row r="23" spans="1:9">
      <c r="A23" s="1463"/>
      <c r="B23" s="1463"/>
      <c r="C23" s="1655"/>
      <c r="D23" s="1655"/>
    </row>
    <row r="24" spans="1:9">
      <c r="A24" s="1463"/>
      <c r="B24" s="1463"/>
      <c r="C24" s="1655"/>
      <c r="D24" s="1655"/>
    </row>
    <row r="25" spans="1:9">
      <c r="A25" s="1463"/>
      <c r="B25" s="1463"/>
      <c r="C25" s="1655"/>
      <c r="D25" s="1655"/>
    </row>
    <row r="26" spans="1:9">
      <c r="A26" s="1463"/>
      <c r="B26" s="1463"/>
      <c r="C26" s="1655"/>
      <c r="D26" s="1655"/>
    </row>
    <row r="27" spans="1:9">
      <c r="A27" s="1463"/>
      <c r="B27" s="1463"/>
      <c r="C27" s="1655"/>
      <c r="D27" s="1655"/>
    </row>
    <row r="28" spans="1:9">
      <c r="A28" s="1463"/>
      <c r="B28" s="1463"/>
      <c r="C28" s="1655"/>
      <c r="D28" s="1655"/>
    </row>
    <row r="29" spans="1:9">
      <c r="A29" s="1463"/>
      <c r="B29" s="1463"/>
      <c r="C29" s="1655"/>
      <c r="D29" s="1655"/>
    </row>
    <row r="30" spans="1:9">
      <c r="A30" s="1463"/>
      <c r="B30" s="1463"/>
      <c r="C30" s="1655"/>
      <c r="D30" s="1655"/>
    </row>
    <row r="31" spans="1:9">
      <c r="A31" s="1463"/>
      <c r="B31" s="1463"/>
      <c r="C31" s="1655"/>
      <c r="D31" s="1655"/>
    </row>
    <row r="32" spans="1:9">
      <c r="A32" s="1463"/>
      <c r="B32" s="1463"/>
      <c r="C32" s="1655"/>
      <c r="D32" s="1655"/>
    </row>
    <row r="33" spans="1:4">
      <c r="A33" s="1463"/>
      <c r="B33" s="1463"/>
      <c r="C33" s="1655"/>
      <c r="D33" s="1655"/>
    </row>
    <row r="34" spans="1:4">
      <c r="A34" s="1463"/>
      <c r="B34" s="1463"/>
      <c r="C34" s="1655"/>
      <c r="D34" s="1655"/>
    </row>
    <row r="35" spans="1:4">
      <c r="A35" s="1463"/>
      <c r="B35" s="1463"/>
      <c r="C35" s="1655"/>
      <c r="D35" s="1655"/>
    </row>
    <row r="36" spans="1:4">
      <c r="A36" s="1463"/>
      <c r="B36" s="1463"/>
      <c r="C36" s="1655"/>
      <c r="D36" s="1655"/>
    </row>
    <row r="37" spans="1:4">
      <c r="A37" s="1463"/>
      <c r="B37" s="1463"/>
      <c r="C37" s="1655"/>
      <c r="D37" s="1655"/>
    </row>
    <row r="38" spans="1:4">
      <c r="A38" s="1463"/>
      <c r="B38" s="1463"/>
      <c r="C38" s="1655"/>
      <c r="D38" s="1655"/>
    </row>
    <row r="39" spans="1:4">
      <c r="A39" s="1463"/>
      <c r="B39" s="1463"/>
      <c r="C39" s="1655"/>
      <c r="D39" s="1655"/>
    </row>
    <row r="40" spans="1:4">
      <c r="A40" s="1463"/>
      <c r="B40" s="1463"/>
      <c r="C40" s="1655"/>
      <c r="D40" s="1655"/>
    </row>
    <row r="41" spans="1:4">
      <c r="A41" s="1463"/>
      <c r="B41" s="1463"/>
      <c r="C41" s="1655"/>
      <c r="D41" s="1655"/>
    </row>
    <row r="42" spans="1:4">
      <c r="A42" s="1463"/>
      <c r="B42" s="1463"/>
      <c r="C42" s="1655"/>
      <c r="D42" s="1655"/>
    </row>
    <row r="43" spans="1:4">
      <c r="A43" s="1463"/>
      <c r="B43" s="1463"/>
      <c r="C43" s="1655"/>
      <c r="D43" s="1655"/>
    </row>
    <row r="44" spans="1:4">
      <c r="A44" s="1463"/>
      <c r="B44" s="1463"/>
      <c r="C44" s="1655"/>
      <c r="D44" s="1655"/>
    </row>
    <row r="45" spans="1:4">
      <c r="A45" s="1463"/>
      <c r="B45" s="1463"/>
      <c r="C45" s="1655"/>
      <c r="D45" s="1655"/>
    </row>
    <row r="46" spans="1:4">
      <c r="A46" s="1463"/>
      <c r="B46" s="1463"/>
      <c r="C46" s="1655"/>
      <c r="D46" s="1655"/>
    </row>
    <row r="47" spans="1:4">
      <c r="A47" s="1463"/>
      <c r="B47" s="1463"/>
      <c r="C47" s="1655"/>
      <c r="D47" s="1655"/>
    </row>
    <row r="48" spans="1:4">
      <c r="A48" s="1463"/>
      <c r="B48" s="1463"/>
      <c r="C48" s="1655"/>
      <c r="D48" s="1655"/>
    </row>
    <row r="49" spans="1:4">
      <c r="A49" s="1463"/>
      <c r="B49" s="1463"/>
      <c r="C49" s="1655"/>
      <c r="D49" s="1655"/>
    </row>
    <row r="50" spans="1:4">
      <c r="A50" s="1463"/>
      <c r="B50" s="1463"/>
      <c r="C50" s="1655"/>
      <c r="D50" s="1655"/>
    </row>
    <row r="51" spans="1:4">
      <c r="A51" s="1463"/>
      <c r="B51" s="1463"/>
      <c r="C51" s="1655"/>
      <c r="D51" s="1655"/>
    </row>
    <row r="52" spans="1:4">
      <c r="A52" s="1463"/>
      <c r="B52" s="1463"/>
      <c r="C52" s="1655"/>
      <c r="D52" s="1655"/>
    </row>
    <row r="53" spans="1:4">
      <c r="A53" s="1463"/>
      <c r="B53" s="1463"/>
      <c r="C53" s="1655"/>
      <c r="D53" s="1655"/>
    </row>
    <row r="54" spans="1:4">
      <c r="A54" s="1463"/>
      <c r="B54" s="1463"/>
      <c r="C54" s="1655"/>
      <c r="D54" s="1655"/>
    </row>
    <row r="55" spans="1:4">
      <c r="A55" s="1463"/>
      <c r="B55" s="1463"/>
      <c r="C55" s="1655"/>
      <c r="D55" s="1655"/>
    </row>
    <row r="56" spans="1:4">
      <c r="A56" s="1463"/>
      <c r="B56" s="1463"/>
      <c r="C56" s="1655"/>
      <c r="D56" s="1655"/>
    </row>
    <row r="57" spans="1:4">
      <c r="A57" s="1463"/>
      <c r="B57" s="1463"/>
      <c r="C57" s="1655"/>
      <c r="D57" s="1655"/>
    </row>
    <row r="58" spans="1:4">
      <c r="A58" s="1463"/>
      <c r="B58" s="1463"/>
      <c r="C58" s="1655"/>
      <c r="D58" s="1655"/>
    </row>
    <row r="59" spans="1:4">
      <c r="A59" s="1463"/>
      <c r="B59" s="1463"/>
      <c r="C59" s="1655"/>
      <c r="D59" s="1655"/>
    </row>
    <row r="60" spans="1:4">
      <c r="A60" s="1463"/>
      <c r="B60" s="1463"/>
      <c r="C60" s="1655"/>
      <c r="D60" s="1655"/>
    </row>
    <row r="61" spans="1:4">
      <c r="A61" s="1463"/>
      <c r="B61" s="1463"/>
      <c r="C61" s="1655"/>
      <c r="D61" s="1655"/>
    </row>
    <row r="62" spans="1:4">
      <c r="A62" s="1463"/>
      <c r="B62" s="1463"/>
      <c r="C62" s="1655"/>
      <c r="D62" s="1655"/>
    </row>
    <row r="63" spans="1:4">
      <c r="A63" s="1463"/>
      <c r="B63" s="1463"/>
      <c r="C63" s="1655"/>
      <c r="D63" s="1655"/>
    </row>
    <row r="64" spans="1:4">
      <c r="A64" s="1463"/>
      <c r="B64" s="1463"/>
      <c r="C64" s="1655"/>
      <c r="D64" s="1655"/>
    </row>
    <row r="65" spans="1:4">
      <c r="A65" s="1463"/>
      <c r="B65" s="1463"/>
      <c r="C65" s="1655"/>
      <c r="D65" s="1655"/>
    </row>
    <row r="66" spans="1:4">
      <c r="A66" s="1463"/>
      <c r="B66" s="1463"/>
      <c r="C66" s="1655"/>
      <c r="D66" s="1655"/>
    </row>
    <row r="67" spans="1:4">
      <c r="A67" s="1463"/>
      <c r="B67" s="1463"/>
      <c r="C67" s="1655"/>
      <c r="D67" s="1655"/>
    </row>
    <row r="68" spans="1:4">
      <c r="A68" s="1463"/>
      <c r="B68" s="1463"/>
      <c r="C68" s="1655"/>
      <c r="D68" s="1655"/>
    </row>
    <row r="69" spans="1:4">
      <c r="A69" s="1463"/>
      <c r="B69" s="1463"/>
      <c r="C69" s="1655"/>
      <c r="D69" s="1655"/>
    </row>
    <row r="70" spans="1:4">
      <c r="A70" s="1463"/>
      <c r="B70" s="1463"/>
      <c r="C70" s="1655"/>
      <c r="D70" s="1655"/>
    </row>
    <row r="71" spans="1:4">
      <c r="A71" s="1463"/>
      <c r="B71" s="1463"/>
      <c r="C71" s="1655"/>
      <c r="D71" s="1655"/>
    </row>
    <row r="72" spans="1:4">
      <c r="A72" s="1463"/>
      <c r="B72" s="1463"/>
      <c r="C72" s="1655"/>
      <c r="D72" s="1655"/>
    </row>
    <row r="73" spans="1:4">
      <c r="A73" s="1463"/>
      <c r="B73" s="1463"/>
      <c r="C73" s="1655"/>
      <c r="D73" s="1655"/>
    </row>
    <row r="74" spans="1:4">
      <c r="A74" s="1463"/>
      <c r="B74" s="1463"/>
      <c r="C74" s="1655"/>
      <c r="D74" s="1655"/>
    </row>
    <row r="75" spans="1:4">
      <c r="A75" s="1463"/>
      <c r="B75" s="1463"/>
      <c r="C75" s="1655"/>
      <c r="D75" s="1655"/>
    </row>
    <row r="76" spans="1:4">
      <c r="A76" s="1463"/>
      <c r="B76" s="1463"/>
      <c r="C76" s="1655"/>
      <c r="D76" s="1655"/>
    </row>
    <row r="77" spans="1:4">
      <c r="A77" s="1463"/>
      <c r="B77" s="1463"/>
      <c r="C77" s="1655"/>
      <c r="D77" s="1655"/>
    </row>
    <row r="78" spans="1:4">
      <c r="A78" s="1463"/>
      <c r="B78" s="1463"/>
      <c r="C78" s="1655"/>
      <c r="D78" s="1655"/>
    </row>
    <row r="79" spans="1:4">
      <c r="A79" s="1463"/>
      <c r="B79" s="1463"/>
      <c r="C79" s="1655"/>
      <c r="D79" s="1655"/>
    </row>
    <row r="80" spans="1:4">
      <c r="A80" s="1463"/>
      <c r="B80" s="1463"/>
      <c r="C80" s="1655"/>
      <c r="D80" s="1655"/>
    </row>
    <row r="81" spans="1:4">
      <c r="A81" s="1463"/>
      <c r="B81" s="1463"/>
      <c r="C81" s="1655"/>
      <c r="D81" s="1655"/>
    </row>
    <row r="82" spans="1:4">
      <c r="A82" s="1463"/>
      <c r="B82" s="1463"/>
      <c r="C82" s="1655"/>
      <c r="D82" s="1655"/>
    </row>
    <row r="83" spans="1:4">
      <c r="A83" s="1463"/>
      <c r="B83" s="1463"/>
      <c r="C83" s="1655"/>
      <c r="D83" s="1655"/>
    </row>
    <row r="84" spans="1:4">
      <c r="A84" s="1463"/>
      <c r="B84" s="1463"/>
      <c r="C84" s="1655"/>
      <c r="D84" s="1655"/>
    </row>
    <row r="85" spans="1:4">
      <c r="A85" s="1463"/>
      <c r="B85" s="1463"/>
      <c r="C85" s="1655"/>
      <c r="D85" s="1655"/>
    </row>
    <row r="86" spans="1:4">
      <c r="A86" s="1463"/>
      <c r="B86" s="1463"/>
      <c r="C86" s="1655"/>
      <c r="D86" s="1655"/>
    </row>
    <row r="87" spans="1:4">
      <c r="A87" s="1463"/>
      <c r="B87" s="1463"/>
      <c r="C87" s="1655"/>
      <c r="D87" s="1655"/>
    </row>
    <row r="88" spans="1:4">
      <c r="A88" s="1463"/>
      <c r="B88" s="1463"/>
      <c r="C88" s="1655"/>
      <c r="D88" s="1655"/>
    </row>
    <row r="89" spans="1:4">
      <c r="A89" s="1463"/>
      <c r="B89" s="1463"/>
      <c r="C89" s="1655"/>
      <c r="D89" s="1655"/>
    </row>
    <row r="90" spans="1:4">
      <c r="A90" s="1463"/>
      <c r="B90" s="1463"/>
      <c r="C90" s="1655"/>
      <c r="D90" s="1655"/>
    </row>
    <row r="91" spans="1:4">
      <c r="A91" s="1463"/>
      <c r="B91" s="1463"/>
      <c r="C91" s="1655"/>
      <c r="D91" s="1655"/>
    </row>
    <row r="92" spans="1:4">
      <c r="A92" s="1463"/>
      <c r="B92" s="1463"/>
      <c r="C92" s="1655"/>
      <c r="D92" s="1655"/>
    </row>
    <row r="93" spans="1:4">
      <c r="A93" s="1463"/>
      <c r="B93" s="1463"/>
      <c r="C93" s="1655"/>
      <c r="D93" s="1655"/>
    </row>
    <row r="94" spans="1:4">
      <c r="A94" s="1463"/>
      <c r="B94" s="1463"/>
      <c r="C94" s="1655"/>
      <c r="D94" s="1655"/>
    </row>
    <row r="95" spans="1:4">
      <c r="A95" s="1463"/>
      <c r="B95" s="1463"/>
      <c r="C95" s="1655"/>
      <c r="D95" s="1655"/>
    </row>
    <row r="96" spans="1:4">
      <c r="A96" s="1463"/>
      <c r="B96" s="1463"/>
      <c r="C96" s="1655"/>
      <c r="D96" s="1655"/>
    </row>
    <row r="97" spans="1:4">
      <c r="A97" s="1463"/>
      <c r="B97" s="1463"/>
      <c r="C97" s="1655"/>
      <c r="D97" s="1655"/>
    </row>
    <row r="98" spans="1:4">
      <c r="A98" s="1463"/>
      <c r="B98" s="1463"/>
      <c r="C98" s="1655"/>
      <c r="D98" s="1655"/>
    </row>
    <row r="99" spans="1:4">
      <c r="A99" s="1463"/>
      <c r="B99" s="1463"/>
      <c r="C99" s="1655"/>
      <c r="D99" s="1655"/>
    </row>
    <row r="100" spans="1:4">
      <c r="A100" s="1463"/>
      <c r="B100" s="1463"/>
      <c r="C100" s="1655"/>
      <c r="D100" s="1655"/>
    </row>
    <row r="101" spans="1:4">
      <c r="A101" s="1463"/>
      <c r="B101" s="1463"/>
      <c r="C101" s="1655"/>
      <c r="D101" s="1655"/>
    </row>
    <row r="102" spans="1:4">
      <c r="A102" s="1463"/>
      <c r="B102" s="1463"/>
      <c r="C102" s="1655"/>
      <c r="D102" s="1655"/>
    </row>
    <row r="103" spans="1:4">
      <c r="A103" s="1463"/>
      <c r="B103" s="1463"/>
      <c r="C103" s="1655"/>
      <c r="D103" s="1655"/>
    </row>
    <row r="104" spans="1:4">
      <c r="A104" s="1463"/>
      <c r="B104" s="1463"/>
      <c r="C104" s="1655"/>
      <c r="D104" s="1655"/>
    </row>
    <row r="105" spans="1:4">
      <c r="A105" s="1463"/>
      <c r="B105" s="1463"/>
      <c r="C105" s="1655"/>
      <c r="D105" s="1655"/>
    </row>
    <row r="106" spans="1:4">
      <c r="A106" s="1463"/>
      <c r="B106" s="1463"/>
      <c r="C106" s="1655"/>
      <c r="D106" s="1655"/>
    </row>
    <row r="107" spans="1:4">
      <c r="A107" s="1463"/>
      <c r="B107" s="1463"/>
      <c r="C107" s="1655"/>
      <c r="D107" s="1655"/>
    </row>
    <row r="108" spans="1:4">
      <c r="A108" s="1463"/>
      <c r="B108" s="1463"/>
      <c r="C108" s="1655"/>
      <c r="D108" s="1655"/>
    </row>
    <row r="109" spans="1:4">
      <c r="A109" s="1463"/>
      <c r="B109" s="1463"/>
      <c r="C109" s="1655"/>
      <c r="D109" s="1655"/>
    </row>
    <row r="110" spans="1:4">
      <c r="A110" s="1463"/>
      <c r="B110" s="1463"/>
      <c r="C110" s="1655"/>
      <c r="D110" s="1655"/>
    </row>
    <row r="111" spans="1:4">
      <c r="A111" s="1463"/>
      <c r="B111" s="1463"/>
      <c r="C111" s="1655"/>
      <c r="D111" s="1655"/>
    </row>
    <row r="112" spans="1:4">
      <c r="A112" s="1463"/>
      <c r="B112" s="1463"/>
      <c r="C112" s="1655"/>
      <c r="D112" s="1655"/>
    </row>
    <row r="113" spans="1:4">
      <c r="A113" s="1463"/>
      <c r="B113" s="1463"/>
      <c r="C113" s="1655"/>
      <c r="D113" s="1655"/>
    </row>
    <row r="114" spans="1:4">
      <c r="A114" s="1463"/>
      <c r="B114" s="1463"/>
      <c r="C114" s="1655"/>
      <c r="D114" s="1655"/>
    </row>
    <row r="115" spans="1:4">
      <c r="A115" s="1463"/>
      <c r="B115" s="1463"/>
      <c r="C115" s="1655"/>
      <c r="D115" s="1655"/>
    </row>
    <row r="116" spans="1:4">
      <c r="A116" s="1463"/>
      <c r="B116" s="1463"/>
      <c r="C116" s="1655"/>
      <c r="D116" s="1655"/>
    </row>
    <row r="117" spans="1:4">
      <c r="A117" s="1463"/>
      <c r="B117" s="1463"/>
      <c r="C117" s="1655"/>
      <c r="D117" s="1655"/>
    </row>
    <row r="118" spans="1:4">
      <c r="A118" s="1463"/>
      <c r="B118" s="1463"/>
      <c r="C118" s="1655"/>
      <c r="D118" s="1655"/>
    </row>
    <row r="119" spans="1:4">
      <c r="A119" s="1463"/>
      <c r="B119" s="1463"/>
      <c r="C119" s="1655"/>
      <c r="D119" s="1655"/>
    </row>
    <row r="120" spans="1:4">
      <c r="A120" s="1463"/>
      <c r="B120" s="1463"/>
      <c r="C120" s="1655"/>
      <c r="D120" s="1655"/>
    </row>
    <row r="121" spans="1:4">
      <c r="A121" s="1463"/>
      <c r="B121" s="1463"/>
      <c r="C121" s="1655"/>
      <c r="D121" s="1655"/>
    </row>
    <row r="122" spans="1:4">
      <c r="A122" s="1463"/>
      <c r="B122" s="1463"/>
      <c r="C122" s="1655"/>
      <c r="D122" s="1655"/>
    </row>
    <row r="123" spans="1:4">
      <c r="A123" s="1463"/>
      <c r="B123" s="1463"/>
      <c r="C123" s="1655"/>
      <c r="D123" s="1655"/>
    </row>
    <row r="124" spans="1:4">
      <c r="A124" s="1463"/>
      <c r="B124" s="1463"/>
      <c r="C124" s="1655"/>
      <c r="D124" s="1655"/>
    </row>
    <row r="125" spans="1:4">
      <c r="A125" s="1463"/>
      <c r="B125" s="1463"/>
      <c r="C125" s="1655"/>
      <c r="D125" s="1655"/>
    </row>
    <row r="126" spans="1:4">
      <c r="A126" s="1463"/>
      <c r="B126" s="1463"/>
      <c r="C126" s="1655"/>
      <c r="D126" s="1655"/>
    </row>
    <row r="127" spans="1:4">
      <c r="A127" s="1463"/>
      <c r="B127" s="1463"/>
      <c r="C127" s="1655"/>
      <c r="D127" s="1655"/>
    </row>
    <row r="128" spans="1:4">
      <c r="A128" s="1463"/>
      <c r="B128" s="1463"/>
      <c r="C128" s="1655"/>
      <c r="D128" s="1655"/>
    </row>
    <row r="129" spans="1:4">
      <c r="A129" s="1463"/>
      <c r="B129" s="1463"/>
      <c r="C129" s="1655"/>
      <c r="D129" s="1655"/>
    </row>
    <row r="130" spans="1:4">
      <c r="A130" s="1463"/>
      <c r="B130" s="1463"/>
      <c r="C130" s="1655"/>
      <c r="D130" s="1655"/>
    </row>
    <row r="131" spans="1:4">
      <c r="A131" s="1463"/>
      <c r="B131" s="1463"/>
      <c r="C131" s="1655"/>
      <c r="D131" s="1655"/>
    </row>
    <row r="132" spans="1:4">
      <c r="A132" s="1463"/>
      <c r="B132" s="1463"/>
      <c r="C132" s="1655"/>
      <c r="D132" s="1655"/>
    </row>
    <row r="133" spans="1:4">
      <c r="A133" s="1463"/>
      <c r="B133" s="1463"/>
      <c r="C133" s="1655"/>
      <c r="D133" s="1655"/>
    </row>
    <row r="134" spans="1:4">
      <c r="A134" s="1463"/>
      <c r="B134" s="1463"/>
      <c r="C134" s="1655"/>
      <c r="D134" s="1655"/>
    </row>
    <row r="135" spans="1:4">
      <c r="A135" s="1463"/>
      <c r="B135" s="1463"/>
      <c r="C135" s="1655"/>
      <c r="D135" s="1655"/>
    </row>
    <row r="136" spans="1:4">
      <c r="A136" s="1463"/>
      <c r="B136" s="1463"/>
      <c r="C136" s="1655"/>
      <c r="D136" s="1655"/>
    </row>
    <row r="137" spans="1:4">
      <c r="A137" s="1463"/>
      <c r="B137" s="1463"/>
      <c r="C137" s="1655"/>
      <c r="D137" s="1655"/>
    </row>
    <row r="138" spans="1:4">
      <c r="A138" s="1463"/>
      <c r="B138" s="1463"/>
      <c r="C138" s="1655"/>
      <c r="D138" s="1655"/>
    </row>
    <row r="139" spans="1:4">
      <c r="A139" s="1463"/>
      <c r="B139" s="1463"/>
      <c r="C139" s="1655"/>
      <c r="D139" s="1655"/>
    </row>
    <row r="140" spans="1:4">
      <c r="A140" s="1463"/>
      <c r="B140" s="1463"/>
      <c r="C140" s="1655"/>
      <c r="D140" s="1655"/>
    </row>
    <row r="141" spans="1:4">
      <c r="A141" s="1463"/>
      <c r="B141" s="1463"/>
      <c r="C141" s="1655"/>
      <c r="D141" s="1655"/>
    </row>
    <row r="142" spans="1:4">
      <c r="A142" s="1463"/>
      <c r="B142" s="1463"/>
      <c r="C142" s="1655"/>
      <c r="D142" s="1655"/>
    </row>
    <row r="143" spans="1:4">
      <c r="A143" s="1463"/>
      <c r="B143" s="1463"/>
      <c r="C143" s="1655"/>
      <c r="D143" s="1655"/>
    </row>
    <row r="144" spans="1:4">
      <c r="A144" s="1463"/>
      <c r="B144" s="1463"/>
      <c r="C144" s="1655"/>
      <c r="D144" s="1655"/>
    </row>
    <row r="145" spans="1:4">
      <c r="A145" s="1463"/>
      <c r="B145" s="1463"/>
      <c r="C145" s="1655"/>
      <c r="D145" s="1655"/>
    </row>
    <row r="146" spans="1:4">
      <c r="A146" s="1463"/>
      <c r="B146" s="1463"/>
      <c r="C146" s="1655"/>
      <c r="D146" s="1655"/>
    </row>
    <row r="147" spans="1:4">
      <c r="A147" s="1463"/>
      <c r="B147" s="1463"/>
      <c r="C147" s="1655"/>
      <c r="D147" s="1655"/>
    </row>
    <row r="148" spans="1:4">
      <c r="A148" s="1463"/>
      <c r="B148" s="1463"/>
      <c r="C148" s="1655"/>
      <c r="D148" s="1655"/>
    </row>
    <row r="149" spans="1:4">
      <c r="A149" s="1463"/>
      <c r="B149" s="1463"/>
      <c r="C149" s="1655"/>
      <c r="D149" s="1655"/>
    </row>
    <row r="150" spans="1:4">
      <c r="A150" s="1463"/>
      <c r="B150" s="1463"/>
      <c r="C150" s="1655"/>
      <c r="D150" s="1655"/>
    </row>
    <row r="151" spans="1:4">
      <c r="A151" s="1463"/>
      <c r="B151" s="1463"/>
      <c r="C151" s="1655"/>
      <c r="D151" s="1655"/>
    </row>
    <row r="152" spans="1:4">
      <c r="A152" s="1463"/>
      <c r="B152" s="1463"/>
      <c r="C152" s="1655"/>
      <c r="D152" s="1655"/>
    </row>
    <row r="153" spans="1:4">
      <c r="A153" s="1463"/>
      <c r="B153" s="1463"/>
      <c r="C153" s="1655"/>
      <c r="D153" s="1655"/>
    </row>
    <row r="154" spans="1:4">
      <c r="A154" s="1463"/>
      <c r="B154" s="1463"/>
      <c r="C154" s="1655"/>
      <c r="D154" s="1655"/>
    </row>
    <row r="155" spans="1:4">
      <c r="A155" s="1463"/>
      <c r="B155" s="1463"/>
      <c r="C155" s="1655"/>
      <c r="D155" s="1655"/>
    </row>
    <row r="156" spans="1:4">
      <c r="A156" s="1463"/>
      <c r="B156" s="1463"/>
      <c r="C156" s="1655"/>
      <c r="D156" s="1655"/>
    </row>
    <row r="157" spans="1:4">
      <c r="A157" s="1463"/>
      <c r="B157" s="1463"/>
      <c r="C157" s="1655"/>
      <c r="D157" s="1655"/>
    </row>
    <row r="158" spans="1:4">
      <c r="A158" s="1463"/>
      <c r="B158" s="1463"/>
      <c r="C158" s="1655"/>
      <c r="D158" s="1655"/>
    </row>
    <row r="159" spans="1:4">
      <c r="A159" s="1463"/>
      <c r="B159" s="1463"/>
      <c r="C159" s="1655"/>
      <c r="D159" s="1655"/>
    </row>
    <row r="160" spans="1:4">
      <c r="A160" s="1463"/>
      <c r="B160" s="1463"/>
      <c r="C160" s="1655"/>
      <c r="D160" s="1655"/>
    </row>
    <row r="161" spans="1:4">
      <c r="A161" s="1463"/>
      <c r="B161" s="1463"/>
      <c r="C161" s="1655"/>
      <c r="D161" s="1655"/>
    </row>
    <row r="162" spans="1:4">
      <c r="A162" s="1463"/>
      <c r="B162" s="1463"/>
      <c r="C162" s="1655"/>
      <c r="D162" s="1655"/>
    </row>
    <row r="163" spans="1:4">
      <c r="A163" s="1463"/>
      <c r="B163" s="1463"/>
      <c r="C163" s="1655"/>
      <c r="D163" s="1655"/>
    </row>
    <row r="164" spans="1:4">
      <c r="A164" s="1463"/>
      <c r="B164" s="1463"/>
      <c r="C164" s="1655"/>
      <c r="D164" s="1655"/>
    </row>
    <row r="165" spans="1:4">
      <c r="A165" s="1463"/>
      <c r="B165" s="1463"/>
      <c r="C165" s="1655"/>
      <c r="D165" s="1655"/>
    </row>
    <row r="166" spans="1:4">
      <c r="A166" s="1463"/>
      <c r="B166" s="1463"/>
      <c r="C166" s="1655"/>
      <c r="D166" s="1655"/>
    </row>
    <row r="167" spans="1:4">
      <c r="A167" s="1463"/>
      <c r="B167" s="1463"/>
      <c r="C167" s="1655"/>
      <c r="D167" s="1655"/>
    </row>
    <row r="168" spans="1:4">
      <c r="A168" s="1463"/>
      <c r="B168" s="1463"/>
      <c r="C168" s="1655"/>
      <c r="D168" s="1655"/>
    </row>
    <row r="169" spans="1:4">
      <c r="A169" s="1463"/>
      <c r="B169" s="1463"/>
      <c r="C169" s="1655"/>
      <c r="D169" s="1655"/>
    </row>
    <row r="170" spans="1:4">
      <c r="A170" s="1463"/>
      <c r="B170" s="1463"/>
      <c r="C170" s="1655"/>
      <c r="D170" s="1655"/>
    </row>
    <row r="171" spans="1:4">
      <c r="A171" s="1463"/>
      <c r="B171" s="1463"/>
      <c r="C171" s="1655"/>
      <c r="D171" s="1655"/>
    </row>
    <row r="172" spans="1:4">
      <c r="A172" s="1463"/>
      <c r="B172" s="1463"/>
      <c r="C172" s="1655"/>
      <c r="D172" s="1655"/>
    </row>
    <row r="173" spans="1:4">
      <c r="A173" s="1463"/>
      <c r="B173" s="1463"/>
      <c r="C173" s="1655"/>
      <c r="D173" s="1655"/>
    </row>
    <row r="174" spans="1:4">
      <c r="A174" s="1463"/>
      <c r="B174" s="1463"/>
      <c r="C174" s="1655"/>
      <c r="D174" s="1655"/>
    </row>
    <row r="175" spans="1:4">
      <c r="A175" s="1463"/>
      <c r="B175" s="1463"/>
      <c r="C175" s="1655"/>
      <c r="D175" s="1655"/>
    </row>
    <row r="176" spans="1:4">
      <c r="A176" s="1463"/>
      <c r="B176" s="1463"/>
      <c r="C176" s="1655"/>
      <c r="D176" s="1655"/>
    </row>
    <row r="177" spans="1:4">
      <c r="A177" s="1463"/>
      <c r="B177" s="1463"/>
      <c r="C177" s="1655"/>
      <c r="D177" s="1655"/>
    </row>
    <row r="178" spans="1:4">
      <c r="A178" s="1463"/>
      <c r="B178" s="1463"/>
      <c r="C178" s="1655"/>
      <c r="D178" s="1655"/>
    </row>
    <row r="179" spans="1:4">
      <c r="A179" s="1463"/>
      <c r="B179" s="1463"/>
      <c r="C179" s="1655"/>
      <c r="D179" s="1655"/>
    </row>
    <row r="180" spans="1:4">
      <c r="A180" s="1463"/>
      <c r="B180" s="1463"/>
      <c r="C180" s="1655"/>
      <c r="D180" s="1655"/>
    </row>
    <row r="181" spans="1:4">
      <c r="A181" s="1463"/>
      <c r="B181" s="1463"/>
      <c r="C181" s="1655"/>
      <c r="D181" s="1655"/>
    </row>
    <row r="182" spans="1:4">
      <c r="A182" s="1463"/>
      <c r="B182" s="1463"/>
      <c r="C182" s="1655"/>
      <c r="D182" s="1655"/>
    </row>
    <row r="183" spans="1:4">
      <c r="A183" s="1463"/>
      <c r="B183" s="1463"/>
      <c r="C183" s="1655"/>
      <c r="D183" s="1655"/>
    </row>
    <row r="184" spans="1:4">
      <c r="A184" s="1463"/>
      <c r="B184" s="1463"/>
      <c r="C184" s="1655"/>
      <c r="D184" s="1655"/>
    </row>
    <row r="185" spans="1:4">
      <c r="A185" s="1463"/>
      <c r="B185" s="1463"/>
      <c r="C185" s="1655"/>
      <c r="D185" s="1655"/>
    </row>
    <row r="186" spans="1:4">
      <c r="A186" s="1463"/>
      <c r="B186" s="1463"/>
      <c r="C186" s="1655"/>
      <c r="D186" s="1655"/>
    </row>
    <row r="187" spans="1:4">
      <c r="A187" s="1463"/>
      <c r="B187" s="1463"/>
      <c r="C187" s="1655"/>
      <c r="D187" s="1655"/>
    </row>
    <row r="188" spans="1:4">
      <c r="A188" s="1463"/>
      <c r="B188" s="1463"/>
      <c r="C188" s="1655"/>
      <c r="D188" s="1655"/>
    </row>
    <row r="189" spans="1:4">
      <c r="A189" s="1463"/>
      <c r="B189" s="1463"/>
      <c r="C189" s="1655"/>
      <c r="D189" s="1655"/>
    </row>
    <row r="190" spans="1:4">
      <c r="A190" s="1463"/>
      <c r="B190" s="1463"/>
      <c r="C190" s="1655"/>
      <c r="D190" s="1655"/>
    </row>
    <row r="191" spans="1:4">
      <c r="A191" s="1463"/>
      <c r="B191" s="1463"/>
      <c r="C191" s="1655"/>
      <c r="D191" s="1655"/>
    </row>
    <row r="192" spans="1:4">
      <c r="A192" s="1463"/>
      <c r="B192" s="1463"/>
      <c r="C192" s="1655"/>
      <c r="D192" s="1655"/>
    </row>
    <row r="193" spans="1:4">
      <c r="A193" s="1463"/>
      <c r="B193" s="1463"/>
      <c r="C193" s="1655"/>
      <c r="D193" s="1655"/>
    </row>
    <row r="194" spans="1:4">
      <c r="A194" s="1463"/>
      <c r="B194" s="1463"/>
      <c r="C194" s="1655"/>
      <c r="D194" s="1655"/>
    </row>
    <row r="195" spans="1:4">
      <c r="A195" s="1463"/>
      <c r="B195" s="1463"/>
      <c r="C195" s="1655"/>
      <c r="D195" s="1655"/>
    </row>
    <row r="196" spans="1:4">
      <c r="A196" s="1463"/>
      <c r="B196" s="1463"/>
      <c r="C196" s="1655"/>
      <c r="D196" s="1655"/>
    </row>
    <row r="197" spans="1:4">
      <c r="A197" s="1463"/>
      <c r="B197" s="1463"/>
      <c r="C197" s="1655"/>
      <c r="D197" s="1655"/>
    </row>
    <row r="198" spans="1:4">
      <c r="A198" s="1463"/>
      <c r="B198" s="1463"/>
      <c r="C198" s="1655"/>
      <c r="D198" s="1655"/>
    </row>
    <row r="199" spans="1:4">
      <c r="A199" s="1463"/>
      <c r="B199" s="1463"/>
      <c r="C199" s="1655"/>
      <c r="D199" s="1655"/>
    </row>
    <row r="200" spans="1:4">
      <c r="A200" s="1463"/>
      <c r="B200" s="1463"/>
      <c r="C200" s="1655"/>
      <c r="D200" s="1655"/>
    </row>
    <row r="201" spans="1:4">
      <c r="A201" s="1463"/>
      <c r="B201" s="1463"/>
      <c r="C201" s="1655"/>
      <c r="D201" s="1655"/>
    </row>
    <row r="202" spans="1:4">
      <c r="A202" s="1463"/>
      <c r="B202" s="1463"/>
      <c r="C202" s="1655"/>
      <c r="D202" s="1655"/>
    </row>
    <row r="203" spans="1:4">
      <c r="A203" s="1463"/>
      <c r="B203" s="1463"/>
      <c r="C203" s="1655"/>
      <c r="D203" s="1655"/>
    </row>
    <row r="204" spans="1:4">
      <c r="A204" s="1463"/>
      <c r="B204" s="1463"/>
      <c r="C204" s="1655"/>
      <c r="D204" s="1655"/>
    </row>
    <row r="205" spans="1:4">
      <c r="A205" s="1463"/>
      <c r="B205" s="1463"/>
      <c r="C205" s="1655"/>
      <c r="D205" s="1655"/>
    </row>
    <row r="206" spans="1:4">
      <c r="A206" s="1463"/>
      <c r="B206" s="1463"/>
      <c r="C206" s="1655"/>
      <c r="D206" s="1655"/>
    </row>
    <row r="207" spans="1:4">
      <c r="A207" s="1463"/>
      <c r="B207" s="1463"/>
      <c r="C207" s="1655"/>
      <c r="D207" s="1655"/>
    </row>
    <row r="208" spans="1:4">
      <c r="A208" s="1463"/>
      <c r="B208" s="1463"/>
      <c r="C208" s="1655"/>
      <c r="D208" s="1655"/>
    </row>
    <row r="209" spans="1:4">
      <c r="A209" s="1463"/>
      <c r="B209" s="1463"/>
      <c r="C209" s="1655"/>
      <c r="D209" s="1655"/>
    </row>
    <row r="210" spans="1:4">
      <c r="A210" s="1463"/>
      <c r="B210" s="1463"/>
      <c r="C210" s="1655"/>
      <c r="D210" s="1655"/>
    </row>
    <row r="211" spans="1:4">
      <c r="A211" s="1463"/>
      <c r="B211" s="1463"/>
      <c r="C211" s="1655"/>
      <c r="D211" s="1655"/>
    </row>
    <row r="212" spans="1:4">
      <c r="A212" s="1463"/>
      <c r="B212" s="1463"/>
      <c r="C212" s="1655"/>
      <c r="D212" s="1655"/>
    </row>
    <row r="213" spans="1:4">
      <c r="A213" s="1463"/>
      <c r="B213" s="1463"/>
      <c r="C213" s="1655"/>
      <c r="D213" s="1655"/>
    </row>
    <row r="214" spans="1:4">
      <c r="A214" s="1463"/>
      <c r="B214" s="1463"/>
      <c r="C214" s="1655"/>
      <c r="D214" s="1655"/>
    </row>
    <row r="215" spans="1:4">
      <c r="A215" s="1463"/>
      <c r="B215" s="1463"/>
      <c r="C215" s="1655"/>
      <c r="D215" s="1655"/>
    </row>
    <row r="216" spans="1:4">
      <c r="A216" s="1463"/>
      <c r="B216" s="1463"/>
      <c r="C216" s="1655"/>
      <c r="D216" s="1655"/>
    </row>
    <row r="217" spans="1:4">
      <c r="A217" s="1463"/>
      <c r="B217" s="1463"/>
      <c r="C217" s="1655"/>
      <c r="D217" s="1655"/>
    </row>
    <row r="218" spans="1:4">
      <c r="A218" s="1463"/>
      <c r="B218" s="1463"/>
      <c r="C218" s="1655"/>
      <c r="D218" s="1655"/>
    </row>
    <row r="219" spans="1:4">
      <c r="A219" s="1463"/>
      <c r="B219" s="1463"/>
      <c r="C219" s="1655"/>
      <c r="D219" s="1655"/>
    </row>
    <row r="220" spans="1:4">
      <c r="A220" s="1463"/>
      <c r="B220" s="1463"/>
      <c r="C220" s="1655"/>
      <c r="D220" s="1655"/>
    </row>
    <row r="221" spans="1:4">
      <c r="A221" s="1463"/>
      <c r="B221" s="1463"/>
      <c r="C221" s="1655"/>
      <c r="D221" s="1655"/>
    </row>
    <row r="222" spans="1:4">
      <c r="A222" s="1463"/>
      <c r="B222" s="1463"/>
      <c r="C222" s="1655"/>
      <c r="D222" s="1655"/>
    </row>
    <row r="223" spans="1:4">
      <c r="A223" s="1463"/>
      <c r="B223" s="1463"/>
      <c r="C223" s="1655"/>
      <c r="D223" s="1655"/>
    </row>
    <row r="224" spans="1:4">
      <c r="A224" s="1463"/>
      <c r="B224" s="1463"/>
      <c r="C224" s="1655"/>
      <c r="D224" s="1655"/>
    </row>
    <row r="225" spans="1:4">
      <c r="A225" s="1463"/>
      <c r="B225" s="1463"/>
      <c r="C225" s="1655"/>
      <c r="D225" s="1655"/>
    </row>
    <row r="226" spans="1:4">
      <c r="A226" s="1463"/>
      <c r="B226" s="1463"/>
      <c r="C226" s="1655"/>
      <c r="D226" s="1655"/>
    </row>
    <row r="227" spans="1:4">
      <c r="A227" s="1463"/>
      <c r="B227" s="1463"/>
      <c r="C227" s="1655"/>
      <c r="D227" s="1655"/>
    </row>
    <row r="228" spans="1:4">
      <c r="A228" s="1463"/>
      <c r="B228" s="1463"/>
      <c r="C228" s="1655"/>
      <c r="D228" s="1655"/>
    </row>
    <row r="229" spans="1:4">
      <c r="A229" s="1463"/>
      <c r="B229" s="1463"/>
      <c r="C229" s="1655"/>
      <c r="D229" s="1655"/>
    </row>
    <row r="230" spans="1:4">
      <c r="A230" s="1463"/>
      <c r="B230" s="1463"/>
      <c r="C230" s="1655"/>
      <c r="D230" s="1655"/>
    </row>
    <row r="231" spans="1:4">
      <c r="A231" s="1463"/>
      <c r="B231" s="1463"/>
      <c r="C231" s="1655"/>
      <c r="D231" s="1655"/>
    </row>
    <row r="232" spans="1:4">
      <c r="A232" s="1463"/>
      <c r="B232" s="1463"/>
      <c r="C232" s="1655"/>
      <c r="D232" s="1655"/>
    </row>
    <row r="233" spans="1:4">
      <c r="A233" s="1463"/>
      <c r="B233" s="1463"/>
      <c r="C233" s="1655"/>
      <c r="D233" s="1655"/>
    </row>
    <row r="234" spans="1:4">
      <c r="A234" s="1463"/>
      <c r="B234" s="1463"/>
      <c r="C234" s="1655"/>
      <c r="D234" s="1655"/>
    </row>
    <row r="235" spans="1:4">
      <c r="A235" s="1463"/>
      <c r="B235" s="1463"/>
      <c r="C235" s="1655"/>
      <c r="D235" s="1655"/>
    </row>
    <row r="236" spans="1:4">
      <c r="A236" s="1463"/>
      <c r="B236" s="1463"/>
      <c r="C236" s="1655"/>
      <c r="D236" s="1655"/>
    </row>
    <row r="237" spans="1:4">
      <c r="A237" s="1463"/>
      <c r="B237" s="1463"/>
      <c r="C237" s="1655"/>
      <c r="D237" s="1655"/>
    </row>
    <row r="238" spans="1:4">
      <c r="A238" s="1463"/>
      <c r="B238" s="1463"/>
      <c r="C238" s="1655"/>
      <c r="D238" s="1655"/>
    </row>
    <row r="239" spans="1:4">
      <c r="A239" s="1463"/>
      <c r="B239" s="1463"/>
      <c r="C239" s="1655"/>
      <c r="D239" s="1655"/>
    </row>
    <row r="240" spans="1:4">
      <c r="A240" s="1463"/>
      <c r="B240" s="1463"/>
      <c r="C240" s="1655"/>
      <c r="D240" s="1655"/>
    </row>
    <row r="241" spans="1:4">
      <c r="A241" s="1463"/>
      <c r="B241" s="1463"/>
      <c r="C241" s="1655"/>
      <c r="D241" s="1655"/>
    </row>
    <row r="242" spans="1:4">
      <c r="A242" s="1463"/>
      <c r="B242" s="1463"/>
      <c r="C242" s="1655"/>
      <c r="D242" s="1655"/>
    </row>
    <row r="243" spans="1:4">
      <c r="A243" s="1463"/>
      <c r="B243" s="1463"/>
      <c r="C243" s="1655"/>
      <c r="D243" s="1655"/>
    </row>
    <row r="244" spans="1:4">
      <c r="A244" s="1463"/>
      <c r="B244" s="1463"/>
      <c r="C244" s="1655"/>
      <c r="D244" s="1655"/>
    </row>
    <row r="245" spans="1:4">
      <c r="A245" s="1463"/>
      <c r="B245" s="1463"/>
      <c r="C245" s="1655"/>
      <c r="D245" s="1655"/>
    </row>
    <row r="246" spans="1:4">
      <c r="A246" s="1463"/>
      <c r="B246" s="1463"/>
      <c r="C246" s="1655"/>
      <c r="D246" s="1655"/>
    </row>
    <row r="247" spans="1:4">
      <c r="A247" s="1463"/>
      <c r="B247" s="1463"/>
      <c r="C247" s="1655"/>
      <c r="D247" s="1655"/>
    </row>
    <row r="248" spans="1:4">
      <c r="A248" s="1463"/>
      <c r="B248" s="1463"/>
      <c r="C248" s="1655"/>
      <c r="D248" s="1655"/>
    </row>
    <row r="249" spans="1:4">
      <c r="A249" s="1463"/>
      <c r="B249" s="1463"/>
      <c r="C249" s="1655"/>
      <c r="D249" s="1655"/>
    </row>
    <row r="250" spans="1:4">
      <c r="A250" s="1463"/>
      <c r="B250" s="1463"/>
      <c r="C250" s="1655"/>
      <c r="D250" s="1655"/>
    </row>
    <row r="251" spans="1:4">
      <c r="A251" s="1463"/>
      <c r="B251" s="1463"/>
      <c r="C251" s="1655"/>
      <c r="D251" s="1655"/>
    </row>
    <row r="252" spans="1:4">
      <c r="A252" s="1463"/>
      <c r="B252" s="1463"/>
      <c r="C252" s="1655"/>
      <c r="D252" s="1655"/>
    </row>
    <row r="253" spans="1:4">
      <c r="A253" s="1463"/>
      <c r="B253" s="1463"/>
      <c r="C253" s="1655"/>
      <c r="D253" s="1655"/>
    </row>
    <row r="254" spans="1:4">
      <c r="A254" s="1463"/>
      <c r="B254" s="1463"/>
      <c r="C254" s="1655"/>
      <c r="D254" s="1655"/>
    </row>
    <row r="255" spans="1:4">
      <c r="A255" s="1463"/>
      <c r="B255" s="1463"/>
      <c r="C255" s="1655"/>
      <c r="D255" s="1655"/>
    </row>
    <row r="256" spans="1:4">
      <c r="A256" s="1463"/>
      <c r="B256" s="1463"/>
      <c r="C256" s="1655"/>
      <c r="D256" s="1655"/>
    </row>
    <row r="257" spans="1:4">
      <c r="A257" s="1463"/>
      <c r="B257" s="1463"/>
      <c r="C257" s="1655"/>
      <c r="D257" s="1655"/>
    </row>
    <row r="258" spans="1:4">
      <c r="A258" s="1463"/>
      <c r="B258" s="1463"/>
      <c r="C258" s="1655"/>
      <c r="D258" s="1655"/>
    </row>
    <row r="259" spans="1:4">
      <c r="A259" s="1463"/>
      <c r="B259" s="1463"/>
      <c r="C259" s="1655"/>
      <c r="D259" s="1655"/>
    </row>
    <row r="260" spans="1:4">
      <c r="A260" s="1463"/>
      <c r="B260" s="1463"/>
      <c r="C260" s="1655"/>
      <c r="D260" s="1655"/>
    </row>
    <row r="261" spans="1:4">
      <c r="A261" s="1463"/>
      <c r="B261" s="1463"/>
      <c r="C261" s="1655"/>
      <c r="D261" s="1655"/>
    </row>
    <row r="262" spans="1:4">
      <c r="A262" s="1463"/>
      <c r="B262" s="1463"/>
      <c r="C262" s="1655"/>
      <c r="D262" s="1655"/>
    </row>
    <row r="263" spans="1:4">
      <c r="A263" s="1463"/>
      <c r="B263" s="1463"/>
      <c r="C263" s="1655"/>
      <c r="D263" s="1655"/>
    </row>
    <row r="264" spans="1:4">
      <c r="A264" s="1463"/>
      <c r="B264" s="1463"/>
      <c r="C264" s="1655"/>
      <c r="D264" s="1655"/>
    </row>
    <row r="265" spans="1:4">
      <c r="A265" s="1463"/>
      <c r="B265" s="1463"/>
      <c r="C265" s="1655"/>
      <c r="D265" s="1655"/>
    </row>
    <row r="266" spans="1:4">
      <c r="A266" s="1463"/>
      <c r="B266" s="1463"/>
      <c r="C266" s="1655"/>
      <c r="D266" s="1655"/>
    </row>
    <row r="267" spans="1:4">
      <c r="A267" s="1463"/>
      <c r="B267" s="1463"/>
      <c r="C267" s="1655"/>
      <c r="D267" s="1655"/>
    </row>
    <row r="268" spans="1:4">
      <c r="A268" s="1463"/>
      <c r="B268" s="1463"/>
      <c r="C268" s="1655"/>
      <c r="D268" s="1655"/>
    </row>
    <row r="269" spans="1:4">
      <c r="A269" s="1463"/>
      <c r="B269" s="1463"/>
      <c r="C269" s="1655"/>
      <c r="D269" s="1655"/>
    </row>
    <row r="270" spans="1:4">
      <c r="A270" s="1463"/>
      <c r="B270" s="1463"/>
      <c r="C270" s="1655"/>
      <c r="D270" s="1655"/>
    </row>
    <row r="271" spans="1:4">
      <c r="A271" s="1463"/>
      <c r="B271" s="1463"/>
      <c r="C271" s="1655"/>
      <c r="D271" s="1655"/>
    </row>
    <row r="272" spans="1:4">
      <c r="A272" s="1463"/>
      <c r="B272" s="1463"/>
      <c r="C272" s="1655"/>
      <c r="D272" s="1655"/>
    </row>
    <row r="273" spans="1:4">
      <c r="A273" s="1463"/>
      <c r="B273" s="1463"/>
      <c r="C273" s="1655"/>
      <c r="D273" s="1655"/>
    </row>
    <row r="274" spans="1:4">
      <c r="A274" s="1463"/>
      <c r="B274" s="1463"/>
      <c r="C274" s="1655"/>
      <c r="D274" s="1655"/>
    </row>
    <row r="275" spans="1:4">
      <c r="A275" s="1463"/>
      <c r="B275" s="1463"/>
      <c r="C275" s="1655"/>
      <c r="D275" s="1655"/>
    </row>
    <row r="276" spans="1:4">
      <c r="A276" s="1463"/>
      <c r="B276" s="1463"/>
      <c r="C276" s="1655"/>
      <c r="D276" s="1655"/>
    </row>
    <row r="277" spans="1:4">
      <c r="A277" s="1463"/>
      <c r="B277" s="1463"/>
      <c r="C277" s="1655"/>
      <c r="D277" s="1655"/>
    </row>
    <row r="278" spans="1:4">
      <c r="A278" s="1463"/>
      <c r="B278" s="1463"/>
      <c r="C278" s="1655"/>
      <c r="D278" s="1655"/>
    </row>
    <row r="279" spans="1:4">
      <c r="A279" s="1463"/>
      <c r="B279" s="1463"/>
      <c r="C279" s="1655"/>
      <c r="D279" s="1655"/>
    </row>
    <row r="280" spans="1:4">
      <c r="A280" s="1463"/>
      <c r="B280" s="1463"/>
      <c r="C280" s="1655"/>
      <c r="D280" s="1655"/>
    </row>
    <row r="281" spans="1:4">
      <c r="A281" s="1463"/>
      <c r="B281" s="1463"/>
      <c r="C281" s="1655"/>
      <c r="D281" s="1655"/>
    </row>
    <row r="282" spans="1:4">
      <c r="A282" s="1463"/>
      <c r="B282" s="1463"/>
      <c r="C282" s="1655"/>
      <c r="D282" s="1655"/>
    </row>
    <row r="283" spans="1:4">
      <c r="A283" s="1463"/>
      <c r="B283" s="1463"/>
      <c r="C283" s="1655"/>
      <c r="D283" s="1655"/>
    </row>
    <row r="284" spans="1:4">
      <c r="A284" s="1463"/>
      <c r="B284" s="1463"/>
      <c r="C284" s="1655"/>
      <c r="D284" s="1655"/>
    </row>
    <row r="285" spans="1:4">
      <c r="A285" s="1463"/>
      <c r="B285" s="1463"/>
      <c r="C285" s="1655"/>
      <c r="D285" s="1655"/>
    </row>
    <row r="286" spans="1:4">
      <c r="A286" s="1463"/>
      <c r="B286" s="1463"/>
      <c r="C286" s="1655"/>
      <c r="D286" s="1655"/>
    </row>
    <row r="287" spans="1:4">
      <c r="A287" s="1463"/>
      <c r="B287" s="1463"/>
      <c r="C287" s="1655"/>
      <c r="D287" s="1655"/>
    </row>
    <row r="288" spans="1:4">
      <c r="A288" s="1463"/>
      <c r="B288" s="1463"/>
      <c r="C288" s="1655"/>
      <c r="D288" s="1655"/>
    </row>
    <row r="289" spans="1:4">
      <c r="A289" s="1463"/>
      <c r="B289" s="1463"/>
      <c r="C289" s="1655"/>
      <c r="D289" s="1655"/>
    </row>
    <row r="290" spans="1:4">
      <c r="A290" s="1463"/>
      <c r="B290" s="1463"/>
      <c r="C290" s="1655"/>
      <c r="D290" s="1655"/>
    </row>
    <row r="291" spans="1:4">
      <c r="A291" s="1463"/>
      <c r="B291" s="1463"/>
      <c r="C291" s="1655"/>
      <c r="D291" s="1655"/>
    </row>
    <row r="292" spans="1:4">
      <c r="A292" s="1463"/>
      <c r="B292" s="1463"/>
      <c r="C292" s="1655"/>
      <c r="D292" s="1655"/>
    </row>
    <row r="293" spans="1:4">
      <c r="A293" s="1463"/>
      <c r="B293" s="1463"/>
      <c r="C293" s="1655"/>
      <c r="D293" s="1655"/>
    </row>
    <row r="294" spans="1:4">
      <c r="A294" s="1463"/>
      <c r="B294" s="1463"/>
      <c r="C294" s="1655"/>
      <c r="D294" s="1655"/>
    </row>
    <row r="295" spans="1:4">
      <c r="A295" s="1463"/>
      <c r="B295" s="1463"/>
      <c r="C295" s="1655"/>
      <c r="D295" s="1655"/>
    </row>
    <row r="296" spans="1:4">
      <c r="A296" s="1463"/>
      <c r="B296" s="1463"/>
      <c r="C296" s="1655"/>
      <c r="D296" s="1655"/>
    </row>
    <row r="297" spans="1:4">
      <c r="A297" s="1463"/>
      <c r="B297" s="1463"/>
      <c r="C297" s="1655"/>
      <c r="D297" s="1655"/>
    </row>
    <row r="298" spans="1:4">
      <c r="A298" s="1463"/>
      <c r="B298" s="1463"/>
      <c r="C298" s="1655"/>
      <c r="D298" s="1655"/>
    </row>
    <row r="299" spans="1:4">
      <c r="A299" s="1463"/>
      <c r="B299" s="1463"/>
      <c r="C299" s="1655"/>
      <c r="D299" s="1655"/>
    </row>
    <row r="300" spans="1:4">
      <c r="A300" s="1463"/>
      <c r="B300" s="1463"/>
      <c r="C300" s="1655"/>
      <c r="D300" s="1655"/>
    </row>
    <row r="301" spans="1:4">
      <c r="A301" s="1463"/>
      <c r="B301" s="1463"/>
      <c r="C301" s="1655"/>
      <c r="D301" s="1655"/>
    </row>
    <row r="302" spans="1:4">
      <c r="A302" s="1463"/>
      <c r="B302" s="1463"/>
      <c r="C302" s="1655"/>
      <c r="D302" s="1655"/>
    </row>
    <row r="303" spans="1:4">
      <c r="A303" s="1463"/>
      <c r="B303" s="1463"/>
      <c r="C303" s="1655"/>
      <c r="D303" s="1655"/>
    </row>
    <row r="304" spans="1:4">
      <c r="A304" s="1463"/>
      <c r="B304" s="1463"/>
      <c r="C304" s="1655"/>
      <c r="D304" s="1655"/>
    </row>
    <row r="305" spans="1:4">
      <c r="A305" s="1463"/>
      <c r="B305" s="1463"/>
      <c r="C305" s="1655"/>
      <c r="D305" s="1655"/>
    </row>
    <row r="306" spans="1:4">
      <c r="A306" s="1463"/>
      <c r="B306" s="1463"/>
      <c r="C306" s="1655"/>
      <c r="D306" s="1655"/>
    </row>
    <row r="307" spans="1:4">
      <c r="A307" s="1463"/>
      <c r="B307" s="1463"/>
      <c r="C307" s="1655"/>
      <c r="D307" s="1655"/>
    </row>
    <row r="308" spans="1:4">
      <c r="A308" s="1463"/>
      <c r="B308" s="1463"/>
      <c r="C308" s="1655"/>
      <c r="D308" s="1655"/>
    </row>
    <row r="309" spans="1:4">
      <c r="A309" s="1463"/>
      <c r="B309" s="1463"/>
      <c r="C309" s="1655"/>
      <c r="D309" s="1655"/>
    </row>
    <row r="310" spans="1:4">
      <c r="A310" s="1463"/>
      <c r="B310" s="1463"/>
      <c r="C310" s="1655"/>
      <c r="D310" s="1655"/>
    </row>
    <row r="311" spans="1:4">
      <c r="A311" s="1463"/>
      <c r="B311" s="1463"/>
      <c r="C311" s="1655"/>
      <c r="D311" s="1655"/>
    </row>
    <row r="312" spans="1:4">
      <c r="A312" s="1463"/>
      <c r="B312" s="1463"/>
      <c r="C312" s="1655"/>
      <c r="D312" s="1655"/>
    </row>
    <row r="313" spans="1:4">
      <c r="A313" s="1463"/>
      <c r="B313" s="1463"/>
      <c r="C313" s="1655"/>
      <c r="D313" s="1655"/>
    </row>
    <row r="314" spans="1:4">
      <c r="A314" s="1463"/>
      <c r="B314" s="1463"/>
      <c r="C314" s="1655"/>
      <c r="D314" s="1655"/>
    </row>
    <row r="315" spans="1:4">
      <c r="A315" s="1463"/>
      <c r="B315" s="1463"/>
      <c r="C315" s="1655"/>
      <c r="D315" s="1655"/>
    </row>
    <row r="316" spans="1:4">
      <c r="A316" s="1463"/>
      <c r="B316" s="1463"/>
      <c r="C316" s="1655"/>
      <c r="D316" s="1655"/>
    </row>
    <row r="317" spans="1:4">
      <c r="A317" s="1463"/>
      <c r="B317" s="1463"/>
      <c r="C317" s="1655"/>
      <c r="D317" s="1655"/>
    </row>
    <row r="318" spans="1:4">
      <c r="A318" s="1463"/>
      <c r="B318" s="1463"/>
      <c r="C318" s="1655"/>
      <c r="D318" s="1655"/>
    </row>
    <row r="319" spans="1:4">
      <c r="A319" s="1463"/>
      <c r="B319" s="1463"/>
      <c r="C319" s="1655"/>
      <c r="D319" s="1655"/>
    </row>
    <row r="320" spans="1:4">
      <c r="A320" s="1463"/>
      <c r="B320" s="1463"/>
      <c r="C320" s="1655"/>
      <c r="D320" s="1655"/>
    </row>
    <row r="321" spans="1:4">
      <c r="A321" s="1463"/>
      <c r="B321" s="1463"/>
      <c r="C321" s="1655"/>
      <c r="D321" s="1655"/>
    </row>
    <row r="322" spans="1:4">
      <c r="A322" s="1463"/>
      <c r="B322" s="1463"/>
      <c r="C322" s="1655"/>
      <c r="D322" s="1655"/>
    </row>
    <row r="323" spans="1:4">
      <c r="A323" s="1463"/>
      <c r="B323" s="1463"/>
      <c r="C323" s="1655"/>
      <c r="D323" s="1655"/>
    </row>
    <row r="324" spans="1:4">
      <c r="A324" s="1463"/>
      <c r="B324" s="1463"/>
      <c r="C324" s="1655"/>
      <c r="D324" s="1655"/>
    </row>
    <row r="325" spans="1:4">
      <c r="A325" s="1463"/>
      <c r="B325" s="1463"/>
      <c r="C325" s="1655"/>
      <c r="D325" s="1655"/>
    </row>
    <row r="326" spans="1:4">
      <c r="A326" s="1463"/>
      <c r="B326" s="1463"/>
      <c r="C326" s="1655"/>
      <c r="D326" s="1655"/>
    </row>
    <row r="327" spans="1:4">
      <c r="A327" s="1463"/>
      <c r="B327" s="1463"/>
      <c r="C327" s="1655"/>
      <c r="D327" s="1655"/>
    </row>
    <row r="328" spans="1:4">
      <c r="A328" s="1463"/>
      <c r="B328" s="1463"/>
      <c r="C328" s="1655"/>
      <c r="D328" s="1655"/>
    </row>
    <row r="329" spans="1:4">
      <c r="A329" s="1463"/>
      <c r="B329" s="1463"/>
      <c r="C329" s="1655"/>
      <c r="D329" s="1655"/>
    </row>
    <row r="330" spans="1:4">
      <c r="A330" s="1463"/>
      <c r="B330" s="1463"/>
      <c r="C330" s="1655"/>
      <c r="D330" s="1655"/>
    </row>
    <row r="331" spans="1:4">
      <c r="A331" s="1463"/>
      <c r="B331" s="1463"/>
      <c r="C331" s="1655"/>
      <c r="D331" s="1655"/>
    </row>
    <row r="332" spans="1:4">
      <c r="A332" s="1463"/>
      <c r="B332" s="1463"/>
      <c r="C332" s="1655"/>
      <c r="D332" s="1655"/>
    </row>
    <row r="333" spans="1:4">
      <c r="A333" s="1463"/>
      <c r="B333" s="1463"/>
      <c r="C333" s="1655"/>
      <c r="D333" s="1655"/>
    </row>
    <row r="334" spans="1:4">
      <c r="A334" s="1463"/>
      <c r="B334" s="1463"/>
      <c r="C334" s="1655"/>
      <c r="D334" s="1655"/>
    </row>
    <row r="335" spans="1:4">
      <c r="A335" s="1463"/>
      <c r="B335" s="1463"/>
      <c r="C335" s="1655"/>
      <c r="D335" s="1655"/>
    </row>
    <row r="336" spans="1:4">
      <c r="A336" s="1463"/>
      <c r="B336" s="1463"/>
      <c r="C336" s="1655"/>
      <c r="D336" s="1655"/>
    </row>
    <row r="337" spans="1:4">
      <c r="A337" s="1463"/>
      <c r="B337" s="1463"/>
      <c r="C337" s="1655"/>
      <c r="D337" s="1655"/>
    </row>
    <row r="338" spans="1:4">
      <c r="A338" s="1463"/>
      <c r="B338" s="1463"/>
      <c r="C338" s="1655"/>
      <c r="D338" s="1655"/>
    </row>
    <row r="339" spans="1:4">
      <c r="A339" s="1463"/>
      <c r="B339" s="1463"/>
      <c r="C339" s="1655"/>
      <c r="D339" s="1655"/>
    </row>
    <row r="340" spans="1:4">
      <c r="A340" s="1463"/>
      <c r="B340" s="1463"/>
      <c r="C340" s="1655"/>
      <c r="D340" s="1655"/>
    </row>
    <row r="341" spans="1:4">
      <c r="A341" s="1463"/>
      <c r="B341" s="1463"/>
      <c r="C341" s="1655"/>
      <c r="D341" s="1655"/>
    </row>
    <row r="342" spans="1:4">
      <c r="A342" s="1463"/>
      <c r="B342" s="1463"/>
      <c r="C342" s="1655"/>
      <c r="D342" s="1655"/>
    </row>
    <row r="343" spans="1:4">
      <c r="A343" s="1463"/>
      <c r="B343" s="1463"/>
      <c r="C343" s="1655"/>
      <c r="D343" s="1655"/>
    </row>
    <row r="344" spans="1:4">
      <c r="A344" s="1463"/>
      <c r="B344" s="1463"/>
      <c r="C344" s="1655"/>
      <c r="D344" s="1655"/>
    </row>
    <row r="345" spans="1:4">
      <c r="A345" s="1463"/>
      <c r="B345" s="1463"/>
      <c r="C345" s="1655"/>
      <c r="D345" s="1655"/>
    </row>
    <row r="346" spans="1:4">
      <c r="A346" s="1463"/>
      <c r="B346" s="1463"/>
      <c r="C346" s="1655"/>
      <c r="D346" s="1655"/>
    </row>
    <row r="347" spans="1:4">
      <c r="A347" s="1463"/>
      <c r="B347" s="1463"/>
      <c r="C347" s="1655"/>
      <c r="D347" s="1655"/>
    </row>
    <row r="348" spans="1:4">
      <c r="A348" s="1463"/>
      <c r="B348" s="1463"/>
      <c r="C348" s="1655"/>
      <c r="D348" s="1655"/>
    </row>
    <row r="349" spans="1:4">
      <c r="A349" s="1463"/>
      <c r="B349" s="1463"/>
      <c r="C349" s="1655"/>
      <c r="D349" s="1655"/>
    </row>
    <row r="350" spans="1:4">
      <c r="A350" s="1463"/>
      <c r="B350" s="1463"/>
      <c r="C350" s="1655"/>
      <c r="D350" s="1655"/>
    </row>
    <row r="351" spans="1:4">
      <c r="A351" s="1463"/>
      <c r="B351" s="1463"/>
      <c r="C351" s="1655"/>
      <c r="D351" s="1655"/>
    </row>
    <row r="352" spans="1:4">
      <c r="A352" s="1463"/>
      <c r="B352" s="1463"/>
      <c r="C352" s="1655"/>
      <c r="D352" s="1655"/>
    </row>
    <row r="353" spans="1:4">
      <c r="A353" s="1463"/>
      <c r="B353" s="1463"/>
      <c r="C353" s="1655"/>
      <c r="D353" s="1655"/>
    </row>
    <row r="354" spans="1:4">
      <c r="A354" s="1463"/>
      <c r="B354" s="1463"/>
      <c r="C354" s="1655"/>
      <c r="D354" s="1655"/>
    </row>
    <row r="355" spans="1:4">
      <c r="A355" s="1463"/>
      <c r="B355" s="1463"/>
      <c r="C355" s="1655"/>
      <c r="D355" s="1655"/>
    </row>
    <row r="356" spans="1:4">
      <c r="A356" s="1463"/>
      <c r="B356" s="1463"/>
      <c r="C356" s="1655"/>
      <c r="D356" s="1655"/>
    </row>
    <row r="357" spans="1:4">
      <c r="A357" s="1463"/>
      <c r="B357" s="1463"/>
      <c r="C357" s="1655"/>
      <c r="D357" s="1655"/>
    </row>
    <row r="358" spans="1:4">
      <c r="A358" s="1463"/>
      <c r="B358" s="1463"/>
      <c r="C358" s="1655"/>
      <c r="D358" s="1655"/>
    </row>
    <row r="359" spans="1:4">
      <c r="A359" s="1463"/>
      <c r="B359" s="1463"/>
      <c r="C359" s="1655"/>
      <c r="D359" s="1655"/>
    </row>
    <row r="360" spans="1:4">
      <c r="A360" s="1463"/>
      <c r="B360" s="1463"/>
      <c r="C360" s="1655"/>
      <c r="D360" s="1655"/>
    </row>
    <row r="361" spans="1:4">
      <c r="A361" s="1463"/>
      <c r="B361" s="1463"/>
      <c r="C361" s="1655"/>
      <c r="D361" s="1655"/>
    </row>
    <row r="362" spans="1:4">
      <c r="A362" s="1463"/>
      <c r="B362" s="1463"/>
      <c r="C362" s="1655"/>
      <c r="D362" s="1655"/>
    </row>
    <row r="363" spans="1:4">
      <c r="A363" s="1463"/>
      <c r="B363" s="1463"/>
      <c r="C363" s="1655"/>
      <c r="D363" s="1655"/>
    </row>
    <row r="364" spans="1:4">
      <c r="A364" s="1463"/>
      <c r="B364" s="1463"/>
      <c r="C364" s="1655"/>
      <c r="D364" s="1655"/>
    </row>
    <row r="365" spans="1:4">
      <c r="A365" s="1463"/>
      <c r="B365" s="1463"/>
      <c r="C365" s="1655"/>
      <c r="D365" s="1655"/>
    </row>
    <row r="366" spans="1:4">
      <c r="A366" s="1463"/>
      <c r="B366" s="1463"/>
      <c r="C366" s="1655"/>
      <c r="D366" s="1655"/>
    </row>
    <row r="367" spans="1:4">
      <c r="A367" s="1463"/>
      <c r="B367" s="1463"/>
      <c r="C367" s="1655"/>
      <c r="D367" s="1655"/>
    </row>
    <row r="368" spans="1:4">
      <c r="A368" s="1463"/>
      <c r="B368" s="1463"/>
      <c r="C368" s="1655"/>
      <c r="D368" s="1655"/>
    </row>
    <row r="369" spans="1:4">
      <c r="A369" s="1463"/>
      <c r="B369" s="1463"/>
      <c r="C369" s="1655"/>
      <c r="D369" s="1655"/>
    </row>
    <row r="370" spans="1:4">
      <c r="A370" s="1463"/>
      <c r="B370" s="1463"/>
      <c r="C370" s="1655"/>
      <c r="D370" s="1655"/>
    </row>
    <row r="371" spans="1:4">
      <c r="A371" s="1463"/>
      <c r="B371" s="1463"/>
      <c r="C371" s="1655"/>
      <c r="D371" s="1655"/>
    </row>
    <row r="372" spans="1:4">
      <c r="A372" s="1463"/>
      <c r="B372" s="1463"/>
      <c r="C372" s="1655"/>
      <c r="D372" s="1655"/>
    </row>
    <row r="373" spans="1:4">
      <c r="A373" s="1463"/>
      <c r="B373" s="1463"/>
      <c r="C373" s="1655"/>
      <c r="D373" s="1655"/>
    </row>
    <row r="374" spans="1:4">
      <c r="A374" s="1463"/>
      <c r="B374" s="1463"/>
      <c r="C374" s="1655"/>
      <c r="D374" s="1655"/>
    </row>
    <row r="375" spans="1:4">
      <c r="A375" s="1463"/>
      <c r="B375" s="1463"/>
      <c r="C375" s="1655"/>
      <c r="D375" s="1655"/>
    </row>
    <row r="376" spans="1:4">
      <c r="A376" s="1463"/>
      <c r="B376" s="1463"/>
      <c r="C376" s="1655"/>
      <c r="D376" s="1655"/>
    </row>
    <row r="377" spans="1:4">
      <c r="A377" s="1463"/>
      <c r="B377" s="1463"/>
      <c r="C377" s="1655"/>
      <c r="D377" s="1655"/>
    </row>
    <row r="378" spans="1:4">
      <c r="A378" s="1463"/>
      <c r="B378" s="1463"/>
      <c r="C378" s="1655"/>
      <c r="D378" s="1655"/>
    </row>
    <row r="379" spans="1:4">
      <c r="A379" s="1463"/>
      <c r="B379" s="1463"/>
      <c r="C379" s="1655"/>
      <c r="D379" s="1655"/>
    </row>
    <row r="380" spans="1:4">
      <c r="A380" s="1463"/>
      <c r="B380" s="1463"/>
      <c r="C380" s="1655"/>
      <c r="D380" s="1655"/>
    </row>
    <row r="381" spans="1:4">
      <c r="A381" s="1463"/>
      <c r="B381" s="1463"/>
      <c r="C381" s="1655"/>
      <c r="D381" s="1655"/>
    </row>
    <row r="382" spans="1:4">
      <c r="A382" s="1463"/>
      <c r="B382" s="1463"/>
      <c r="C382" s="1655"/>
      <c r="D382" s="1655"/>
    </row>
    <row r="383" spans="1:4">
      <c r="A383" s="1463"/>
      <c r="B383" s="1463"/>
      <c r="C383" s="1655"/>
      <c r="D383" s="1655"/>
    </row>
    <row r="384" spans="1:4">
      <c r="A384" s="1463"/>
      <c r="B384" s="1463"/>
      <c r="C384" s="1655"/>
      <c r="D384" s="1655"/>
    </row>
    <row r="385" spans="1:4">
      <c r="A385" s="1463"/>
      <c r="B385" s="1463"/>
      <c r="C385" s="1655"/>
      <c r="D385" s="1655"/>
    </row>
    <row r="386" spans="1:4">
      <c r="A386" s="1463"/>
      <c r="B386" s="1463"/>
      <c r="C386" s="1655"/>
      <c r="D386" s="1655"/>
    </row>
    <row r="387" spans="1:4">
      <c r="A387" s="1463"/>
      <c r="B387" s="1463"/>
      <c r="C387" s="1655"/>
      <c r="D387" s="1655"/>
    </row>
    <row r="388" spans="1:4">
      <c r="A388" s="1463"/>
      <c r="B388" s="1463"/>
      <c r="C388" s="1655"/>
      <c r="D388" s="1655"/>
    </row>
    <row r="389" spans="1:4">
      <c r="A389" s="1463"/>
      <c r="B389" s="1463"/>
      <c r="C389" s="1655"/>
      <c r="D389" s="1655"/>
    </row>
    <row r="390" spans="1:4">
      <c r="A390" s="1463"/>
      <c r="B390" s="1463"/>
      <c r="C390" s="1655"/>
      <c r="D390" s="1655"/>
    </row>
    <row r="391" spans="1:4">
      <c r="A391" s="1463"/>
      <c r="B391" s="1463"/>
      <c r="C391" s="1655"/>
      <c r="D391" s="1655"/>
    </row>
    <row r="392" spans="1:4">
      <c r="A392" s="1463"/>
      <c r="B392" s="1463"/>
      <c r="C392" s="1655"/>
      <c r="D392" s="1655"/>
    </row>
    <row r="393" spans="1:4">
      <c r="A393" s="1463"/>
      <c r="B393" s="1463"/>
      <c r="C393" s="1655"/>
      <c r="D393" s="1655"/>
    </row>
    <row r="394" spans="1:4">
      <c r="A394" s="1463"/>
      <c r="B394" s="1463"/>
      <c r="C394" s="1655"/>
      <c r="D394" s="1655"/>
    </row>
    <row r="395" spans="1:4">
      <c r="A395" s="1463"/>
      <c r="B395" s="1463"/>
      <c r="C395" s="1655"/>
      <c r="D395" s="1655"/>
    </row>
    <row r="396" spans="1:4">
      <c r="A396" s="1463"/>
      <c r="B396" s="1463"/>
      <c r="C396" s="1655"/>
      <c r="D396" s="1655"/>
    </row>
    <row r="397" spans="1:4">
      <c r="A397" s="1463"/>
      <c r="B397" s="1463"/>
      <c r="C397" s="1655"/>
      <c r="D397" s="1655"/>
    </row>
  </sheetData>
  <mergeCells count="2">
    <mergeCell ref="A1:D1"/>
    <mergeCell ref="A2:D2"/>
  </mergeCells>
  <printOptions horizontalCentered="1"/>
  <pageMargins left="0.7" right="0.7" top="0.75" bottom="0.75" header="0.3" footer="0.3"/>
  <pageSetup paperSize="9" scale="80" fitToHeight="0" orientation="landscape" r:id="rId1"/>
  <headerFooter>
    <oddFooter>&amp;L&amp;"-,Negrito"&amp;K0000FFA: ADEQUADO                                                          I: INADEQUADO                                                 PA: PARCIALMENTE ADEQUADO                                                           NSA: NÃO SE APLICA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1C58A-DD71-4B2F-A7E3-817FF04F81CB}">
  <sheetPr>
    <tabColor rgb="FF002060"/>
    <pageSetUpPr fitToPage="1"/>
  </sheetPr>
  <dimension ref="A1:N10"/>
  <sheetViews>
    <sheetView view="pageBreakPreview" zoomScaleSheetLayoutView="100" workbookViewId="0">
      <selection activeCell="P5" sqref="P5"/>
    </sheetView>
  </sheetViews>
  <sheetFormatPr defaultColWidth="9.140625" defaultRowHeight="15"/>
  <cols>
    <col min="1" max="2" width="50.7109375" customWidth="1"/>
  </cols>
  <sheetData>
    <row r="1" spans="1:14" ht="36.75" customHeight="1">
      <c r="A1" s="1986" t="s">
        <v>558</v>
      </c>
      <c r="B1" s="1984"/>
      <c r="D1" s="1092"/>
    </row>
    <row r="2" spans="1:14" ht="15.75">
      <c r="A2" s="1459" t="s">
        <v>577</v>
      </c>
      <c r="B2" s="1459" t="s">
        <v>577</v>
      </c>
      <c r="D2" s="344"/>
    </row>
    <row r="3" spans="1:14" s="338" customFormat="1" ht="183" customHeight="1">
      <c r="A3" s="995"/>
      <c r="B3" s="1029"/>
      <c r="D3" s="340"/>
    </row>
    <row r="4" spans="1:14" s="338" customFormat="1" ht="183" customHeight="1">
      <c r="A4" s="995"/>
      <c r="B4" s="1029"/>
      <c r="D4" s="340"/>
    </row>
    <row r="5" spans="1:14" s="338" customFormat="1" ht="183" customHeight="1">
      <c r="A5" s="995"/>
      <c r="B5" s="1029"/>
      <c r="D5" s="340"/>
      <c r="N5" s="338" t="s">
        <v>752</v>
      </c>
    </row>
    <row r="6" spans="1:14" s="338" customFormat="1" ht="183" customHeight="1">
      <c r="A6" s="995"/>
      <c r="B6" s="1029"/>
      <c r="D6" s="340"/>
    </row>
    <row r="7" spans="1:14" s="338" customFormat="1" ht="171.6" customHeight="1">
      <c r="B7" s="340"/>
    </row>
    <row r="8" spans="1:14" s="338" customFormat="1" ht="171.6" customHeight="1">
      <c r="A8"/>
      <c r="B8"/>
      <c r="D8" s="340"/>
    </row>
    <row r="9" spans="1:14" s="338" customFormat="1" ht="180" customHeight="1">
      <c r="A9"/>
      <c r="B9"/>
      <c r="D9" s="340"/>
    </row>
    <row r="10" spans="1:14" ht="207" customHeight="1"/>
  </sheetData>
  <mergeCells count="1">
    <mergeCell ref="A1:B1"/>
  </mergeCells>
  <printOptions horizontalCentered="1"/>
  <pageMargins left="0.70866141732283472" right="0.70866141732283472" top="0.74803149606299213" bottom="0.74803149606299213" header="0.31496062992125984" footer="0.31496062992125984"/>
  <pageSetup paperSize="9" scale="8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2060"/>
    <pageSetUpPr fitToPage="1"/>
  </sheetPr>
  <dimension ref="A1:AI25"/>
  <sheetViews>
    <sheetView showGridLines="0" view="pageBreakPreview" zoomScale="80" zoomScaleNormal="100" zoomScaleSheetLayoutView="80" workbookViewId="0">
      <selection activeCell="AM11" sqref="AM11"/>
    </sheetView>
  </sheetViews>
  <sheetFormatPr defaultRowHeight="15"/>
  <cols>
    <col min="1" max="1" width="7.7109375" customWidth="1"/>
    <col min="2" max="2" width="53.5703125" customWidth="1"/>
    <col min="3" max="3" width="4.28515625" style="1083" customWidth="1"/>
    <col min="4" max="4" width="4.28515625" customWidth="1"/>
    <col min="5" max="33" width="4.28515625" style="1325" customWidth="1"/>
    <col min="34" max="34" width="11.28515625" customWidth="1"/>
  </cols>
  <sheetData>
    <row r="1" spans="1:35" ht="28.5" customHeight="1">
      <c r="A1" s="2026" t="s">
        <v>559</v>
      </c>
      <c r="B1" s="2218"/>
      <c r="C1" s="2218"/>
      <c r="D1" s="2218"/>
      <c r="E1" s="2218"/>
      <c r="F1" s="2218"/>
      <c r="G1" s="2218"/>
      <c r="H1" s="2218"/>
      <c r="I1" s="2218"/>
      <c r="J1" s="2218"/>
      <c r="K1" s="2218"/>
      <c r="L1" s="2218"/>
      <c r="M1" s="2218"/>
      <c r="N1" s="2218"/>
      <c r="O1" s="2218"/>
      <c r="P1" s="2218"/>
      <c r="Q1" s="2218"/>
      <c r="R1" s="2218"/>
      <c r="S1" s="2218"/>
      <c r="T1" s="2218"/>
      <c r="U1" s="2218"/>
      <c r="V1" s="2218"/>
      <c r="W1" s="2218"/>
      <c r="X1" s="2218"/>
      <c r="Y1" s="2218"/>
      <c r="Z1" s="2218"/>
      <c r="AA1" s="2218"/>
      <c r="AB1" s="2218"/>
      <c r="AC1" s="2024"/>
      <c r="AD1" s="638"/>
      <c r="AE1" s="638"/>
      <c r="AF1" s="1586"/>
      <c r="AG1" s="1586"/>
    </row>
    <row r="2" spans="1:35" ht="27.75" customHeight="1">
      <c r="A2" s="2616" t="s">
        <v>650</v>
      </c>
      <c r="B2" s="2617"/>
      <c r="C2" s="2617"/>
      <c r="D2" s="2617"/>
      <c r="E2" s="2617"/>
      <c r="F2" s="2617"/>
      <c r="G2" s="2617"/>
      <c r="H2" s="2617"/>
      <c r="I2" s="2617"/>
      <c r="J2" s="2617"/>
      <c r="K2" s="2617"/>
      <c r="L2" s="2617"/>
      <c r="M2" s="2617"/>
      <c r="N2" s="2617"/>
      <c r="O2" s="2617"/>
      <c r="P2" s="2617"/>
      <c r="Q2" s="2617"/>
      <c r="R2" s="2617"/>
      <c r="S2" s="2617"/>
      <c r="T2" s="2617"/>
      <c r="U2" s="2617"/>
      <c r="V2" s="2617"/>
      <c r="W2" s="2617"/>
      <c r="X2" s="2617"/>
      <c r="Y2" s="2617"/>
      <c r="Z2" s="2617"/>
      <c r="AA2" s="2617"/>
      <c r="AB2" s="2617"/>
      <c r="AC2" s="2618"/>
      <c r="AD2" s="1664"/>
      <c r="AE2" s="1664"/>
      <c r="AF2" s="1587"/>
      <c r="AG2" s="1587"/>
    </row>
    <row r="3" spans="1:35" ht="29.25" customHeight="1">
      <c r="A3" s="2613" t="s">
        <v>946</v>
      </c>
      <c r="B3" s="2614"/>
      <c r="C3" s="2614"/>
      <c r="D3" s="2614"/>
      <c r="E3" s="2614"/>
      <c r="F3" s="2614"/>
      <c r="G3" s="2614"/>
      <c r="H3" s="2614"/>
      <c r="I3" s="2614"/>
      <c r="J3" s="2614"/>
      <c r="K3" s="2614"/>
      <c r="L3" s="2614"/>
      <c r="M3" s="2614"/>
      <c r="N3" s="2614"/>
      <c r="O3" s="2614"/>
      <c r="P3" s="2614"/>
      <c r="Q3" s="2614"/>
      <c r="R3" s="2614"/>
      <c r="S3" s="2614"/>
      <c r="T3" s="2614"/>
      <c r="U3" s="2614"/>
      <c r="V3" s="2614"/>
      <c r="W3" s="2614"/>
      <c r="X3" s="2614"/>
      <c r="Y3" s="2614"/>
      <c r="Z3" s="2614"/>
      <c r="AA3" s="2614"/>
      <c r="AB3" s="2614"/>
      <c r="AC3" s="2615"/>
      <c r="AD3" s="1662"/>
      <c r="AE3" s="1662"/>
      <c r="AF3" s="1663"/>
      <c r="AG3" s="1588"/>
    </row>
    <row r="4" spans="1:35" ht="29.25" customHeight="1">
      <c r="A4" s="2608" t="s">
        <v>397</v>
      </c>
      <c r="B4" s="2609"/>
      <c r="C4" s="1246">
        <v>1</v>
      </c>
      <c r="D4" s="1246">
        <v>2</v>
      </c>
      <c r="E4" s="1512">
        <v>3</v>
      </c>
      <c r="F4" s="1512">
        <v>4</v>
      </c>
      <c r="G4" s="1246">
        <v>5</v>
      </c>
      <c r="H4" s="1246">
        <v>6</v>
      </c>
      <c r="I4" s="1246">
        <v>7</v>
      </c>
      <c r="J4" s="1246">
        <v>8</v>
      </c>
      <c r="K4" s="1246">
        <v>9</v>
      </c>
      <c r="L4" s="1512">
        <v>10</v>
      </c>
      <c r="M4" s="1512">
        <v>11</v>
      </c>
      <c r="N4" s="1246">
        <v>12</v>
      </c>
      <c r="O4" s="1246">
        <v>13</v>
      </c>
      <c r="P4" s="1246">
        <v>14</v>
      </c>
      <c r="Q4" s="1246">
        <v>15</v>
      </c>
      <c r="R4" s="1246">
        <v>16</v>
      </c>
      <c r="S4" s="1512">
        <v>17</v>
      </c>
      <c r="T4" s="1512">
        <v>18</v>
      </c>
      <c r="U4" s="1246">
        <v>19</v>
      </c>
      <c r="V4" s="1246">
        <v>20</v>
      </c>
      <c r="W4" s="1246">
        <v>21</v>
      </c>
      <c r="X4" s="1246">
        <v>22</v>
      </c>
      <c r="Y4" s="1246">
        <v>23</v>
      </c>
      <c r="Z4" s="1512">
        <v>24</v>
      </c>
      <c r="AA4" s="1512">
        <v>25</v>
      </c>
      <c r="AB4" s="1246">
        <v>26</v>
      </c>
      <c r="AC4" s="1246">
        <v>27</v>
      </c>
      <c r="AD4" s="1589">
        <v>28</v>
      </c>
      <c r="AE4" s="1246">
        <v>29</v>
      </c>
      <c r="AF4" s="1246">
        <v>30</v>
      </c>
      <c r="AG4" s="1589">
        <v>31</v>
      </c>
    </row>
    <row r="5" spans="1:35" ht="29.25" customHeight="1">
      <c r="A5" s="2610" t="s">
        <v>578</v>
      </c>
      <c r="B5" s="1247" t="s">
        <v>651</v>
      </c>
      <c r="C5" s="1323"/>
      <c r="D5" s="1324"/>
      <c r="E5" s="1323"/>
      <c r="F5" s="1323" t="s">
        <v>574</v>
      </c>
      <c r="G5" s="1323" t="s">
        <v>573</v>
      </c>
      <c r="H5" s="1323"/>
      <c r="I5" s="1323"/>
      <c r="J5" s="1323"/>
      <c r="K5" s="1323"/>
      <c r="L5" s="1324"/>
      <c r="M5" s="1323" t="s">
        <v>574</v>
      </c>
      <c r="N5" s="1323" t="s">
        <v>573</v>
      </c>
      <c r="O5" s="1323"/>
      <c r="P5" s="1324"/>
      <c r="Q5" s="1323"/>
      <c r="R5" s="1323"/>
      <c r="S5" s="1323"/>
      <c r="T5" s="1323" t="s">
        <v>574</v>
      </c>
      <c r="U5" s="1323" t="s">
        <v>573</v>
      </c>
      <c r="V5" s="1323"/>
      <c r="W5" s="1323"/>
      <c r="X5" s="1323"/>
      <c r="Y5" s="1323"/>
      <c r="Z5" s="1324"/>
      <c r="AA5" s="1323" t="s">
        <v>574</v>
      </c>
      <c r="AB5" s="1323" t="s">
        <v>573</v>
      </c>
      <c r="AC5" s="1323"/>
      <c r="AD5" s="1665"/>
      <c r="AE5" s="1323"/>
      <c r="AF5" s="1585"/>
      <c r="AG5" s="1590"/>
    </row>
    <row r="6" spans="1:35" ht="29.25" hidden="1" customHeight="1">
      <c r="A6" s="2611"/>
      <c r="B6" s="1132" t="s">
        <v>652</v>
      </c>
      <c r="C6" s="1323"/>
      <c r="D6" s="1323"/>
      <c r="E6" s="1323"/>
      <c r="F6" s="1323" t="s">
        <v>574</v>
      </c>
      <c r="G6" s="1323" t="s">
        <v>573</v>
      </c>
      <c r="H6" s="1323"/>
      <c r="I6" s="1323"/>
      <c r="J6" s="1323"/>
      <c r="K6" s="1323"/>
      <c r="L6" s="1323"/>
      <c r="M6" s="1323" t="s">
        <v>574</v>
      </c>
      <c r="N6" s="1323" t="s">
        <v>573</v>
      </c>
      <c r="O6" s="1323"/>
      <c r="P6" s="1323"/>
      <c r="Q6" s="1323"/>
      <c r="R6" s="1323"/>
      <c r="S6" s="1323"/>
      <c r="T6" s="1323" t="s">
        <v>574</v>
      </c>
      <c r="U6" s="1323" t="s">
        <v>573</v>
      </c>
      <c r="V6" s="1323"/>
      <c r="W6" s="1323"/>
      <c r="X6" s="1323"/>
      <c r="Y6" s="1323"/>
      <c r="Z6" s="1323"/>
      <c r="AA6" s="1323" t="s">
        <v>574</v>
      </c>
      <c r="AB6" s="1323" t="s">
        <v>573</v>
      </c>
      <c r="AC6" s="1323"/>
      <c r="AD6" s="1590"/>
      <c r="AE6" s="1323"/>
      <c r="AF6" s="1323"/>
      <c r="AG6" s="1590"/>
    </row>
    <row r="7" spans="1:35" ht="29.25" customHeight="1">
      <c r="A7" s="2611"/>
      <c r="B7" s="1248" t="s">
        <v>719</v>
      </c>
      <c r="C7" s="1323"/>
      <c r="D7" s="1323"/>
      <c r="E7" s="1323"/>
      <c r="F7" s="1323" t="s">
        <v>574</v>
      </c>
      <c r="G7" s="1323" t="s">
        <v>573</v>
      </c>
      <c r="H7" s="1323"/>
      <c r="I7" s="1323"/>
      <c r="J7" s="1324"/>
      <c r="K7" s="1323"/>
      <c r="L7" s="1323"/>
      <c r="M7" s="1323" t="s">
        <v>574</v>
      </c>
      <c r="N7" s="1323" t="s">
        <v>573</v>
      </c>
      <c r="O7" s="1323"/>
      <c r="P7" s="1323"/>
      <c r="Q7" s="1324"/>
      <c r="R7" s="1323"/>
      <c r="S7" s="1323"/>
      <c r="T7" s="1323" t="s">
        <v>574</v>
      </c>
      <c r="U7" s="1323" t="s">
        <v>573</v>
      </c>
      <c r="V7" s="1323"/>
      <c r="W7" s="1324"/>
      <c r="X7" s="1323"/>
      <c r="Y7" s="1323"/>
      <c r="Z7" s="1323"/>
      <c r="AA7" s="1323" t="s">
        <v>574</v>
      </c>
      <c r="AB7" s="1323" t="s">
        <v>573</v>
      </c>
      <c r="AC7" s="1323"/>
      <c r="AD7" s="1665"/>
      <c r="AE7" s="1323"/>
      <c r="AF7" s="1585"/>
      <c r="AG7" s="1590"/>
    </row>
    <row r="8" spans="1:35" ht="29.25" customHeight="1">
      <c r="A8" s="2611"/>
      <c r="B8" s="1248" t="s">
        <v>720</v>
      </c>
      <c r="C8" s="1323"/>
      <c r="D8" s="1324"/>
      <c r="E8" s="1323"/>
      <c r="F8" s="1323" t="s">
        <v>574</v>
      </c>
      <c r="G8" s="1323" t="s">
        <v>573</v>
      </c>
      <c r="H8" s="1323"/>
      <c r="I8" s="1323"/>
      <c r="J8" s="1323"/>
      <c r="K8" s="1324"/>
      <c r="L8" s="1323"/>
      <c r="M8" s="1323" t="s">
        <v>574</v>
      </c>
      <c r="N8" s="1323" t="s">
        <v>573</v>
      </c>
      <c r="O8" s="1323"/>
      <c r="P8" s="1323"/>
      <c r="Q8" s="1323"/>
      <c r="R8" s="1324"/>
      <c r="S8" s="1323"/>
      <c r="T8" s="1323" t="s">
        <v>574</v>
      </c>
      <c r="U8" s="1323" t="s">
        <v>573</v>
      </c>
      <c r="V8" s="1323"/>
      <c r="W8" s="1323"/>
      <c r="X8" s="1323"/>
      <c r="Y8" s="1324"/>
      <c r="Z8" s="1323"/>
      <c r="AA8" s="1323" t="s">
        <v>574</v>
      </c>
      <c r="AB8" s="1323" t="s">
        <v>573</v>
      </c>
      <c r="AC8" s="1323"/>
      <c r="AD8" s="1590"/>
      <c r="AE8" s="1324"/>
      <c r="AF8" s="1323"/>
      <c r="AG8" s="1591"/>
    </row>
    <row r="9" spans="1:35" ht="29.25" customHeight="1">
      <c r="A9" s="2612"/>
      <c r="B9" s="1248" t="s">
        <v>721</v>
      </c>
      <c r="C9" s="1324"/>
      <c r="D9" s="1323"/>
      <c r="E9" s="1323"/>
      <c r="F9" s="1323" t="s">
        <v>574</v>
      </c>
      <c r="G9" s="1323" t="s">
        <v>573</v>
      </c>
      <c r="H9" s="1323"/>
      <c r="I9" s="1323"/>
      <c r="J9" s="1324"/>
      <c r="K9" s="1323"/>
      <c r="L9" s="1323"/>
      <c r="M9" s="1323" t="s">
        <v>574</v>
      </c>
      <c r="N9" s="1323" t="s">
        <v>573</v>
      </c>
      <c r="O9" s="1324"/>
      <c r="P9" s="1323"/>
      <c r="Q9" s="1323"/>
      <c r="R9" s="1323"/>
      <c r="S9" s="1323"/>
      <c r="T9" s="1323" t="s">
        <v>574</v>
      </c>
      <c r="U9" s="1323" t="s">
        <v>573</v>
      </c>
      <c r="V9" s="1323"/>
      <c r="W9" s="1323"/>
      <c r="X9" s="1323"/>
      <c r="Y9" s="1323"/>
      <c r="Z9" s="1324"/>
      <c r="AA9" s="1323" t="s">
        <v>574</v>
      </c>
      <c r="AB9" s="1323" t="s">
        <v>573</v>
      </c>
      <c r="AC9" s="1324"/>
      <c r="AD9" s="1590"/>
      <c r="AE9" s="1323"/>
      <c r="AF9" s="1323"/>
      <c r="AG9" s="1590"/>
    </row>
    <row r="10" spans="1:35" ht="29.25" customHeight="1">
      <c r="A10" s="840"/>
      <c r="B10" s="575"/>
      <c r="C10" s="1667"/>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1249"/>
      <c r="AD10" s="575"/>
      <c r="AE10" s="575"/>
      <c r="AF10" s="1249"/>
      <c r="AG10" s="1249"/>
    </row>
    <row r="11" spans="1:35" ht="29.25" customHeight="1">
      <c r="A11" s="840"/>
      <c r="B11" s="575"/>
      <c r="C11" s="1667"/>
      <c r="D11" s="575"/>
      <c r="E11" s="575"/>
      <c r="F11" s="575"/>
      <c r="G11" s="575"/>
      <c r="H11" s="575"/>
      <c r="I11" s="575"/>
      <c r="J11" s="575"/>
      <c r="K11" s="575"/>
      <c r="L11" s="575"/>
      <c r="M11" s="575"/>
      <c r="N11" s="575"/>
      <c r="O11" s="575"/>
      <c r="P11" s="575"/>
      <c r="Q11" s="575"/>
      <c r="R11" s="575"/>
      <c r="S11" s="575"/>
      <c r="T11" s="575"/>
      <c r="U11" s="575"/>
      <c r="V11" s="575"/>
      <c r="W11" s="575"/>
      <c r="X11" s="575"/>
      <c r="Y11" s="575"/>
      <c r="Z11" s="575"/>
      <c r="AA11" s="575"/>
      <c r="AB11" s="575"/>
      <c r="AC11" s="1249"/>
      <c r="AD11" s="575"/>
      <c r="AE11" s="575"/>
      <c r="AF11" s="1249"/>
      <c r="AG11" s="1249"/>
    </row>
    <row r="12" spans="1:35" ht="29.25" customHeight="1">
      <c r="A12" s="840"/>
      <c r="B12" s="575"/>
      <c r="C12" s="1667"/>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1249"/>
      <c r="AD12" s="575"/>
      <c r="AE12" s="575"/>
      <c r="AF12" s="1249"/>
      <c r="AG12" s="1249"/>
    </row>
    <row r="13" spans="1:35" ht="27" customHeight="1">
      <c r="A13" s="840"/>
      <c r="B13" s="1592"/>
      <c r="C13" s="2622"/>
      <c r="D13" s="2611"/>
      <c r="E13" s="2611"/>
      <c r="F13" s="2611"/>
      <c r="G13" s="2611"/>
      <c r="H13" s="2611"/>
      <c r="I13" s="2611"/>
      <c r="J13" s="2611"/>
      <c r="K13" s="2623"/>
      <c r="L13" s="575"/>
      <c r="M13" s="575"/>
      <c r="N13" s="575"/>
      <c r="O13" s="575"/>
      <c r="P13" s="2626"/>
      <c r="Q13" s="2626"/>
      <c r="R13" s="2626"/>
      <c r="S13" s="2626"/>
      <c r="T13" s="2626"/>
      <c r="U13" s="2626"/>
      <c r="V13" s="2626"/>
      <c r="W13" s="2626"/>
      <c r="X13" s="2626"/>
      <c r="Y13" s="2626"/>
      <c r="Z13" s="2626"/>
      <c r="AA13" s="2626"/>
      <c r="AB13" s="2626"/>
      <c r="AC13" s="1668"/>
      <c r="AD13" s="575"/>
      <c r="AE13" s="575"/>
      <c r="AF13" s="1249"/>
      <c r="AG13" s="1249"/>
    </row>
    <row r="14" spans="1:35" ht="27.75" customHeight="1">
      <c r="A14" s="785"/>
      <c r="B14" s="1669"/>
      <c r="D14" s="2619"/>
      <c r="E14" s="2620"/>
      <c r="F14" s="2620"/>
      <c r="G14" s="2620"/>
      <c r="H14" s="2620"/>
      <c r="I14" s="2620"/>
      <c r="J14" s="2620"/>
      <c r="K14" s="2621"/>
      <c r="L14" s="1593"/>
      <c r="M14" s="1593"/>
      <c r="N14" s="1593"/>
      <c r="O14" s="1593"/>
      <c r="P14" s="2627"/>
      <c r="Q14" s="2627"/>
      <c r="R14" s="2627"/>
      <c r="S14" s="2627"/>
      <c r="T14" s="2627"/>
      <c r="U14" s="2627"/>
      <c r="V14" s="2627"/>
      <c r="W14" s="2627"/>
      <c r="X14" s="2627"/>
      <c r="Y14" s="2627"/>
      <c r="Z14" s="2627"/>
      <c r="AA14" s="2627"/>
      <c r="AB14" s="2627"/>
      <c r="AC14" s="1668"/>
      <c r="AD14" s="1593"/>
      <c r="AE14" s="1593"/>
      <c r="AF14" s="1326"/>
      <c r="AG14" s="1326"/>
      <c r="AI14" s="404"/>
    </row>
    <row r="15" spans="1:35" ht="27.75" customHeight="1">
      <c r="A15" s="838"/>
      <c r="B15" s="1670"/>
      <c r="D15" s="2619"/>
      <c r="E15" s="2620"/>
      <c r="F15" s="2620"/>
      <c r="G15" s="2620"/>
      <c r="H15" s="2620"/>
      <c r="I15" s="2620"/>
      <c r="J15" s="2620"/>
      <c r="K15" s="2621"/>
      <c r="L15" s="1593"/>
      <c r="M15" s="1593"/>
      <c r="N15" s="1593"/>
      <c r="O15" s="1593"/>
      <c r="P15" s="2627"/>
      <c r="Q15" s="2627"/>
      <c r="R15" s="2627"/>
      <c r="S15" s="2627"/>
      <c r="T15" s="2627"/>
      <c r="U15" s="2627"/>
      <c r="V15" s="2627"/>
      <c r="W15" s="2627"/>
      <c r="X15" s="2627"/>
      <c r="Y15" s="2627"/>
      <c r="Z15" s="2627"/>
      <c r="AA15" s="2627"/>
      <c r="AB15" s="2627"/>
      <c r="AC15" s="1668"/>
      <c r="AD15" s="1593"/>
      <c r="AE15" s="1593"/>
      <c r="AF15" s="1326"/>
      <c r="AG15" s="1326"/>
    </row>
    <row r="16" spans="1:35" ht="29.25" customHeight="1">
      <c r="A16" s="840"/>
      <c r="B16" s="1133" t="s">
        <v>724</v>
      </c>
      <c r="C16" s="2611"/>
      <c r="D16" s="2611"/>
      <c r="E16" s="2611"/>
      <c r="F16" s="2611"/>
      <c r="G16" s="2611"/>
      <c r="H16" s="2611"/>
      <c r="I16" s="2611"/>
      <c r="J16" s="2611"/>
      <c r="K16" s="2623"/>
      <c r="L16" s="575"/>
      <c r="M16" s="575"/>
      <c r="N16" s="575"/>
      <c r="O16" s="2624" t="s">
        <v>366</v>
      </c>
      <c r="P16" s="2624"/>
      <c r="Q16" s="2624"/>
      <c r="R16" s="2624"/>
      <c r="S16" s="2624"/>
      <c r="T16" s="2624"/>
      <c r="U16" s="2624"/>
      <c r="V16" s="2624"/>
      <c r="W16" s="2624"/>
      <c r="X16" s="2624"/>
      <c r="Y16" s="2624"/>
      <c r="Z16" s="2624"/>
      <c r="AA16" s="2624"/>
      <c r="AB16" s="2624"/>
      <c r="AC16" s="2624"/>
      <c r="AD16" s="575"/>
      <c r="AE16" s="575"/>
      <c r="AF16" s="1249"/>
      <c r="AG16" s="1249"/>
    </row>
    <row r="17" spans="1:33" ht="29.25" customHeight="1">
      <c r="A17" s="837"/>
      <c r="B17" s="1250" t="s">
        <v>367</v>
      </c>
      <c r="C17" s="1322"/>
      <c r="D17" s="2619"/>
      <c r="E17" s="2620"/>
      <c r="F17" s="2620"/>
      <c r="G17" s="2620"/>
      <c r="H17" s="2620"/>
      <c r="I17" s="2620"/>
      <c r="J17" s="2620"/>
      <c r="K17" s="2621"/>
      <c r="L17" s="1593"/>
      <c r="M17" s="1593"/>
      <c r="N17" s="1593"/>
      <c r="O17" s="2625" t="s">
        <v>780</v>
      </c>
      <c r="P17" s="2625"/>
      <c r="Q17" s="2625"/>
      <c r="R17" s="2625"/>
      <c r="S17" s="2625"/>
      <c r="T17" s="2625"/>
      <c r="U17" s="2625"/>
      <c r="V17" s="2625"/>
      <c r="W17" s="2625"/>
      <c r="X17" s="2625"/>
      <c r="Y17" s="2625"/>
      <c r="Z17" s="2625"/>
      <c r="AA17" s="2625"/>
      <c r="AB17" s="2625"/>
      <c r="AC17" s="2625"/>
      <c r="AD17" s="1592"/>
      <c r="AE17" s="1592"/>
      <c r="AF17" s="1327"/>
      <c r="AG17" s="1327"/>
    </row>
    <row r="18" spans="1:33" ht="29.25" customHeight="1">
      <c r="A18" s="837"/>
      <c r="B18" s="1266"/>
      <c r="D18" s="832"/>
      <c r="E18" s="1671"/>
      <c r="F18" s="1671"/>
      <c r="G18" s="1671"/>
      <c r="H18" s="1671"/>
      <c r="I18" s="1671"/>
      <c r="J18" s="1671"/>
      <c r="K18" s="1671"/>
      <c r="L18" s="1593"/>
      <c r="M18" s="1593"/>
      <c r="N18" s="1593"/>
      <c r="O18" s="2625" t="s">
        <v>781</v>
      </c>
      <c r="P18" s="2625"/>
      <c r="Q18" s="2625"/>
      <c r="R18" s="2625"/>
      <c r="S18" s="2625"/>
      <c r="T18" s="2625"/>
      <c r="U18" s="2625"/>
      <c r="V18" s="2625"/>
      <c r="W18" s="2625"/>
      <c r="X18" s="2625"/>
      <c r="Y18" s="2625"/>
      <c r="Z18" s="2625"/>
      <c r="AA18" s="2625"/>
      <c r="AB18" s="2625"/>
      <c r="AC18" s="2625"/>
      <c r="AD18" s="1592"/>
      <c r="AE18" s="1592"/>
      <c r="AF18" s="1327"/>
      <c r="AG18" s="1327"/>
    </row>
    <row r="19" spans="1:33" ht="29.25" customHeight="1">
      <c r="A19" s="837"/>
      <c r="B19" s="1669"/>
      <c r="D19" s="832"/>
      <c r="E19" s="1671"/>
      <c r="F19" s="1671"/>
      <c r="G19" s="1671"/>
      <c r="H19" s="1671"/>
      <c r="I19" s="1671"/>
      <c r="J19" s="1671"/>
      <c r="K19" s="1671"/>
      <c r="L19" s="1593"/>
      <c r="M19" s="1593"/>
      <c r="N19" s="1593"/>
      <c r="O19" s="2625" t="s">
        <v>782</v>
      </c>
      <c r="P19" s="2625"/>
      <c r="Q19" s="2625"/>
      <c r="R19" s="2625"/>
      <c r="S19" s="2625"/>
      <c r="T19" s="2625"/>
      <c r="U19" s="2625"/>
      <c r="V19" s="2625"/>
      <c r="W19" s="2625"/>
      <c r="X19" s="2625"/>
      <c r="Y19" s="2625"/>
      <c r="Z19" s="2625"/>
      <c r="AA19" s="2625"/>
      <c r="AB19" s="2625"/>
      <c r="AC19" s="2625"/>
      <c r="AD19" s="1592"/>
      <c r="AE19" s="1592"/>
      <c r="AF19" s="1327"/>
      <c r="AG19" s="1327"/>
    </row>
    <row r="20" spans="1:33" ht="29.25" customHeight="1">
      <c r="A20" s="785"/>
      <c r="B20" s="1669"/>
      <c r="D20" s="2619"/>
      <c r="E20" s="2620"/>
      <c r="F20" s="2620"/>
      <c r="G20" s="2620"/>
      <c r="H20" s="2620"/>
      <c r="I20" s="2620"/>
      <c r="J20" s="2620"/>
      <c r="K20" s="2621"/>
      <c r="L20" s="1593"/>
      <c r="M20" s="1593"/>
      <c r="N20" s="1593"/>
      <c r="O20" s="2625" t="s">
        <v>783</v>
      </c>
      <c r="P20" s="2625"/>
      <c r="Q20" s="2625"/>
      <c r="R20" s="2625"/>
      <c r="S20" s="2625"/>
      <c r="T20" s="2625"/>
      <c r="U20" s="2625"/>
      <c r="V20" s="2625"/>
      <c r="W20" s="2625"/>
      <c r="X20" s="2625"/>
      <c r="Y20" s="2625"/>
      <c r="Z20" s="2625"/>
      <c r="AA20" s="2625"/>
      <c r="AB20" s="2625"/>
      <c r="AC20" s="2625"/>
      <c r="AD20" s="1593"/>
      <c r="AE20" s="1593"/>
      <c r="AF20" s="1326"/>
      <c r="AG20" s="1326"/>
    </row>
    <row r="21" spans="1:33" ht="13.5" customHeight="1">
      <c r="A21" s="779"/>
      <c r="B21" s="1672"/>
      <c r="L21" s="1594"/>
      <c r="M21" s="1594"/>
      <c r="N21" s="1594"/>
      <c r="O21" s="1594"/>
      <c r="P21" s="1594"/>
      <c r="Q21" s="1594"/>
      <c r="R21" s="1594"/>
      <c r="AC21" s="1668"/>
      <c r="AD21" s="1594"/>
      <c r="AE21" s="1594"/>
      <c r="AF21" s="1328"/>
      <c r="AG21" s="1328"/>
    </row>
    <row r="22" spans="1:33" ht="10.5" customHeight="1">
      <c r="A22" s="779"/>
      <c r="B22" s="1672"/>
      <c r="L22" s="1594"/>
      <c r="M22" s="1594"/>
      <c r="N22" s="1594"/>
      <c r="O22" s="1594"/>
      <c r="P22" s="1594"/>
      <c r="Q22" s="1594"/>
      <c r="R22" s="1594"/>
      <c r="AC22" s="1668"/>
      <c r="AD22" s="1594"/>
      <c r="AE22" s="1594"/>
      <c r="AF22" s="1328"/>
      <c r="AG22" s="1328"/>
    </row>
    <row r="23" spans="1:33" ht="20.100000000000001" customHeight="1">
      <c r="A23" s="786"/>
      <c r="B23" s="1673"/>
      <c r="L23" s="1674"/>
      <c r="M23" s="1674"/>
      <c r="N23" s="1674"/>
      <c r="O23" s="1675"/>
      <c r="P23" s="1675"/>
      <c r="Q23" s="1675"/>
      <c r="R23" s="1675"/>
      <c r="AC23" s="1668"/>
      <c r="AD23" s="1595"/>
      <c r="AE23" s="1595"/>
      <c r="AF23" s="1329"/>
      <c r="AG23" s="1329"/>
    </row>
    <row r="24" spans="1:33" ht="20.100000000000001" customHeight="1">
      <c r="A24" s="787"/>
      <c r="B24" s="1676"/>
      <c r="L24" s="1674"/>
      <c r="M24" s="1674"/>
      <c r="N24" s="1674"/>
      <c r="O24" s="1595"/>
      <c r="P24" s="1595"/>
      <c r="Q24" s="1595"/>
      <c r="R24" s="1595"/>
      <c r="S24" s="1595"/>
      <c r="T24" s="1595"/>
      <c r="U24" s="1595"/>
      <c r="V24" s="1595"/>
      <c r="W24" s="1595"/>
      <c r="X24" s="1595"/>
      <c r="Y24" s="1595"/>
      <c r="Z24" s="1595"/>
      <c r="AA24" s="1595"/>
      <c r="AB24" s="1595"/>
      <c r="AC24" s="1329"/>
      <c r="AD24" s="1595"/>
      <c r="AE24" s="1595"/>
      <c r="AF24" s="1329"/>
      <c r="AG24" s="1329"/>
    </row>
    <row r="25" spans="1:33" ht="13.5" customHeight="1">
      <c r="A25" s="1370"/>
      <c r="B25" s="1677"/>
      <c r="C25" s="1677"/>
      <c r="D25" s="1677"/>
      <c r="E25" s="1677"/>
      <c r="F25" s="1666"/>
      <c r="G25" s="1666"/>
      <c r="H25" s="1666"/>
      <c r="I25" s="1666"/>
      <c r="J25" s="1666"/>
      <c r="K25" s="1666"/>
      <c r="L25" s="1666"/>
      <c r="M25" s="1666"/>
      <c r="N25" s="1666"/>
      <c r="O25" s="1666"/>
      <c r="P25" s="1666"/>
      <c r="Q25" s="1666"/>
      <c r="R25" s="1666"/>
      <c r="S25" s="1666"/>
      <c r="T25" s="1666"/>
      <c r="U25" s="1666"/>
      <c r="V25" s="1666"/>
      <c r="W25" s="1666"/>
      <c r="X25" s="1666"/>
      <c r="Y25" s="1666"/>
      <c r="Z25" s="1666"/>
      <c r="AA25" s="1666"/>
      <c r="AB25" s="1666"/>
      <c r="AC25" s="1371"/>
      <c r="AD25" s="1666"/>
      <c r="AE25" s="1596"/>
      <c r="AF25" s="1371"/>
      <c r="AG25" s="1371"/>
    </row>
  </sheetData>
  <mergeCells count="19">
    <mergeCell ref="D20:K20"/>
    <mergeCell ref="C13:K13"/>
    <mergeCell ref="D14:K14"/>
    <mergeCell ref="D15:K15"/>
    <mergeCell ref="O16:AC16"/>
    <mergeCell ref="O17:AC17"/>
    <mergeCell ref="O20:AC20"/>
    <mergeCell ref="O19:AC19"/>
    <mergeCell ref="O18:AC18"/>
    <mergeCell ref="P13:AB13"/>
    <mergeCell ref="P14:AB14"/>
    <mergeCell ref="P15:AB15"/>
    <mergeCell ref="C16:K16"/>
    <mergeCell ref="D17:K17"/>
    <mergeCell ref="A4:B4"/>
    <mergeCell ref="A5:A9"/>
    <mergeCell ref="A3:AC3"/>
    <mergeCell ref="A2:AC2"/>
    <mergeCell ref="A1:AC1"/>
  </mergeCells>
  <printOptions horizontalCentered="1"/>
  <pageMargins left="0.39370078740157483" right="0.39370078740157483" top="0.78740157480314965" bottom="0.39370078740157483" header="0" footer="0"/>
  <pageSetup paperSize="9" scale="7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2060"/>
    <pageSetUpPr fitToPage="1"/>
  </sheetPr>
  <dimension ref="A1:BN32"/>
  <sheetViews>
    <sheetView view="pageBreakPreview" zoomScale="85" zoomScaleNormal="70" zoomScaleSheetLayoutView="85" workbookViewId="0">
      <selection activeCell="H9" sqref="H9"/>
    </sheetView>
  </sheetViews>
  <sheetFormatPr defaultRowHeight="15"/>
  <cols>
    <col min="1" max="1" width="43.42578125" customWidth="1"/>
    <col min="2" max="2" width="14.28515625" customWidth="1"/>
    <col min="3" max="3" width="13.85546875" customWidth="1"/>
    <col min="4" max="4" width="14.5703125" customWidth="1"/>
    <col min="5" max="5" width="49.85546875" customWidth="1"/>
    <col min="9" max="9" width="7.140625" customWidth="1"/>
    <col min="17" max="17" width="10.7109375" customWidth="1"/>
    <col min="18" max="18" width="16" customWidth="1"/>
  </cols>
  <sheetData>
    <row r="1" spans="1:66" s="1" customFormat="1" ht="24.95" customHeight="1" thickBot="1">
      <c r="A1" s="2631" t="s">
        <v>700</v>
      </c>
      <c r="B1" s="2631"/>
      <c r="C1" s="2631"/>
      <c r="D1" s="2631"/>
      <c r="E1" s="742" t="s">
        <v>940</v>
      </c>
      <c r="F1" s="739"/>
      <c r="G1" s="739"/>
      <c r="H1" s="739"/>
      <c r="I1" s="739"/>
      <c r="J1" s="739"/>
      <c r="K1" s="350"/>
      <c r="L1" s="739"/>
      <c r="M1" s="739"/>
      <c r="N1" s="739"/>
      <c r="O1" s="739"/>
      <c r="P1" s="739"/>
      <c r="Q1" s="739"/>
      <c r="R1" s="739"/>
      <c r="S1" s="739"/>
      <c r="T1" s="739"/>
      <c r="U1" s="739"/>
      <c r="V1" s="739"/>
      <c r="W1" s="739"/>
      <c r="X1" s="739"/>
      <c r="Y1" s="739"/>
      <c r="AA1" s="350"/>
      <c r="AB1" s="350"/>
      <c r="AC1" s="350"/>
      <c r="AD1" s="350"/>
      <c r="AE1" s="350"/>
      <c r="AF1" s="350"/>
      <c r="AG1" s="3"/>
      <c r="AH1" s="3"/>
      <c r="AI1" s="3"/>
      <c r="AJ1" s="3"/>
      <c r="AK1" s="3"/>
      <c r="AL1" s="2"/>
      <c r="AM1" s="3"/>
      <c r="AN1" s="3"/>
      <c r="AO1" s="3"/>
      <c r="AP1" s="3"/>
      <c r="AQ1" s="3"/>
      <c r="AR1" s="2"/>
      <c r="AS1" s="2"/>
      <c r="AT1" s="3"/>
      <c r="AU1" s="3"/>
      <c r="AV1" s="3"/>
      <c r="AW1" s="3"/>
      <c r="AX1" s="3"/>
      <c r="AY1" s="2"/>
      <c r="AZ1" s="2"/>
      <c r="BA1" s="3"/>
      <c r="BB1" s="3"/>
      <c r="BC1" s="3"/>
      <c r="BD1" s="3"/>
      <c r="BE1" s="3"/>
      <c r="BF1" s="2"/>
      <c r="BG1" s="2"/>
      <c r="BH1" s="3"/>
      <c r="BI1" s="3"/>
      <c r="BJ1" s="3"/>
      <c r="BK1" s="3"/>
      <c r="BL1" s="3"/>
      <c r="BM1" s="2"/>
      <c r="BN1" s="2"/>
    </row>
    <row r="2" spans="1:66" s="1" customFormat="1" ht="15" customHeight="1" thickTop="1">
      <c r="A2" s="359"/>
      <c r="B2" s="740"/>
      <c r="C2" s="743"/>
      <c r="D2" s="743"/>
      <c r="E2" s="74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c r="AM2" s="3"/>
      <c r="AN2" s="3"/>
      <c r="AO2" s="3"/>
      <c r="AP2" s="3"/>
      <c r="AQ2" s="3"/>
      <c r="AR2" s="2"/>
      <c r="AS2" s="2"/>
      <c r="AT2" s="3"/>
      <c r="AU2" s="3"/>
      <c r="AV2" s="3"/>
      <c r="AW2" s="3"/>
      <c r="AX2" s="3"/>
      <c r="AY2" s="2"/>
      <c r="AZ2" s="2"/>
      <c r="BA2" s="3"/>
      <c r="BB2" s="3"/>
      <c r="BC2" s="3"/>
      <c r="BD2" s="3"/>
      <c r="BE2" s="3"/>
      <c r="BF2" s="2"/>
      <c r="BG2" s="2"/>
      <c r="BH2" s="3"/>
      <c r="BI2" s="3"/>
      <c r="BJ2" s="3"/>
      <c r="BK2" s="3"/>
      <c r="BL2" s="3"/>
      <c r="BM2" s="2"/>
      <c r="BN2" s="2"/>
    </row>
    <row r="3" spans="1:66" ht="36.75" customHeight="1">
      <c r="A3" s="2628" t="s">
        <v>557</v>
      </c>
      <c r="B3" s="2629"/>
      <c r="C3" s="2629"/>
      <c r="D3" s="2629"/>
      <c r="E3" s="2630"/>
    </row>
    <row r="4" spans="1:66" ht="31.5">
      <c r="A4" s="335" t="s">
        <v>0</v>
      </c>
      <c r="B4" s="336" t="s">
        <v>315</v>
      </c>
      <c r="C4" s="335" t="s">
        <v>316</v>
      </c>
      <c r="D4" s="335" t="s">
        <v>317</v>
      </c>
      <c r="E4" s="335" t="s">
        <v>318</v>
      </c>
    </row>
    <row r="5" spans="1:66" s="338" customFormat="1" ht="82.5" customHeight="1">
      <c r="A5" s="337" t="s">
        <v>319</v>
      </c>
      <c r="B5" s="410" t="s">
        <v>320</v>
      </c>
      <c r="C5" s="411"/>
      <c r="D5" s="410"/>
      <c r="E5" s="339" t="s">
        <v>944</v>
      </c>
    </row>
    <row r="6" spans="1:66" s="338" customFormat="1" ht="105.75">
      <c r="A6" s="337" t="s">
        <v>385</v>
      </c>
      <c r="B6" s="410" t="s">
        <v>320</v>
      </c>
      <c r="C6" s="411"/>
      <c r="D6" s="410"/>
      <c r="E6" s="339" t="s">
        <v>945</v>
      </c>
    </row>
    <row r="7" spans="1:66" s="338" customFormat="1" ht="82.5" customHeight="1">
      <c r="A7" s="337" t="s">
        <v>386</v>
      </c>
      <c r="B7" s="410" t="s">
        <v>320</v>
      </c>
      <c r="C7" s="411"/>
      <c r="D7" s="410"/>
      <c r="E7" s="339" t="s">
        <v>945</v>
      </c>
    </row>
    <row r="8" spans="1:66" s="338" customFormat="1" ht="82.5" customHeight="1">
      <c r="A8" s="337" t="s">
        <v>387</v>
      </c>
      <c r="B8" s="410" t="s">
        <v>320</v>
      </c>
      <c r="C8" s="411"/>
      <c r="D8" s="410"/>
      <c r="E8" s="339"/>
    </row>
    <row r="9" spans="1:66" s="338" customFormat="1" ht="82.5" customHeight="1">
      <c r="A9" s="337" t="s">
        <v>388</v>
      </c>
      <c r="B9" s="410"/>
      <c r="C9" s="411"/>
      <c r="D9" s="410" t="s">
        <v>320</v>
      </c>
      <c r="E9" s="339"/>
    </row>
    <row r="10" spans="1:66" s="338" customFormat="1" ht="82.5" customHeight="1">
      <c r="A10" s="337" t="s">
        <v>389</v>
      </c>
      <c r="B10" s="410"/>
      <c r="C10" s="411"/>
      <c r="D10" s="410" t="s">
        <v>320</v>
      </c>
      <c r="E10" s="339"/>
    </row>
    <row r="11" spans="1:66" s="338" customFormat="1" ht="82.5" customHeight="1">
      <c r="A11" s="337" t="s">
        <v>390</v>
      </c>
      <c r="B11" s="410"/>
      <c r="C11" s="411"/>
      <c r="D11" s="410" t="s">
        <v>320</v>
      </c>
      <c r="E11" s="339"/>
    </row>
    <row r="12" spans="1:66" s="338" customFormat="1" ht="82.5" customHeight="1">
      <c r="A12" s="337" t="s">
        <v>391</v>
      </c>
      <c r="B12" s="410"/>
      <c r="C12" s="411"/>
      <c r="D12" s="410" t="s">
        <v>320</v>
      </c>
      <c r="E12" s="339" t="s">
        <v>321</v>
      </c>
    </row>
    <row r="13" spans="1:66" s="338" customFormat="1" ht="82.5" customHeight="1">
      <c r="A13" s="337" t="s">
        <v>392</v>
      </c>
      <c r="B13" s="410"/>
      <c r="C13" s="411"/>
      <c r="D13" s="410" t="s">
        <v>320</v>
      </c>
      <c r="E13" s="339" t="s">
        <v>321</v>
      </c>
    </row>
    <row r="14" spans="1:66" s="338" customFormat="1" ht="15.75">
      <c r="A14" s="744"/>
      <c r="B14" s="745"/>
      <c r="C14" s="745"/>
      <c r="D14" s="745"/>
      <c r="E14" s="746"/>
    </row>
    <row r="15" spans="1:66" s="338" customFormat="1" ht="15.75">
      <c r="A15" s="744"/>
      <c r="B15" s="745"/>
      <c r="C15" s="745"/>
      <c r="D15" s="745"/>
      <c r="E15" s="746"/>
    </row>
    <row r="16" spans="1:66" s="338" customFormat="1" ht="15.75">
      <c r="A16" s="744"/>
      <c r="B16" s="745"/>
      <c r="C16" s="745"/>
      <c r="D16" s="745"/>
      <c r="E16" s="746"/>
    </row>
    <row r="17" spans="1:66" s="338" customFormat="1" ht="15.75">
      <c r="A17" s="744"/>
      <c r="B17" s="745"/>
      <c r="C17" s="745"/>
      <c r="D17" s="745"/>
      <c r="E17" s="746"/>
    </row>
    <row r="18" spans="1:66" s="338" customFormat="1" ht="15.75">
      <c r="A18" s="744"/>
      <c r="B18" s="745"/>
      <c r="C18" s="745"/>
      <c r="D18" s="745"/>
      <c r="E18" s="746"/>
    </row>
    <row r="19" spans="1:66" s="338" customFormat="1" ht="15.75">
      <c r="A19" s="744"/>
      <c r="B19" s="745"/>
      <c r="C19" s="745"/>
      <c r="D19" s="745"/>
      <c r="E19" s="746"/>
    </row>
    <row r="20" spans="1:66" s="338" customFormat="1" ht="15.75">
      <c r="A20" s="744"/>
      <c r="B20" s="745"/>
      <c r="C20" s="745"/>
      <c r="D20" s="745"/>
      <c r="E20" s="746"/>
    </row>
    <row r="21" spans="1:66" s="338" customFormat="1" ht="15.75">
      <c r="A21" s="744"/>
      <c r="B21" s="745"/>
      <c r="C21" s="745"/>
      <c r="D21" s="745"/>
      <c r="E21" s="746"/>
    </row>
    <row r="22" spans="1:66" s="338" customFormat="1" ht="15.75">
      <c r="A22" s="744"/>
      <c r="B22" s="745"/>
      <c r="C22" s="745"/>
      <c r="D22" s="745"/>
      <c r="E22" s="746"/>
    </row>
    <row r="23" spans="1:66" s="338" customFormat="1" ht="15.75">
      <c r="A23" s="744"/>
      <c r="B23" s="745"/>
      <c r="C23" s="745"/>
      <c r="D23" s="745"/>
      <c r="E23" s="746"/>
    </row>
    <row r="24" spans="1:66" s="338" customFormat="1" ht="15.75">
      <c r="A24" s="744"/>
      <c r="B24" s="745"/>
      <c r="C24" s="745"/>
      <c r="D24" s="745"/>
      <c r="E24" s="746"/>
    </row>
    <row r="25" spans="1:66" s="338" customFormat="1" ht="15.75">
      <c r="A25" s="744"/>
      <c r="B25" s="745"/>
      <c r="C25" s="745"/>
      <c r="D25" s="745"/>
      <c r="E25" s="746"/>
    </row>
    <row r="26" spans="1:66" s="338" customFormat="1" ht="15.75">
      <c r="A26" s="744"/>
      <c r="B26" s="745"/>
      <c r="C26" s="745"/>
      <c r="D26" s="745"/>
      <c r="E26" s="746"/>
    </row>
    <row r="27" spans="1:66" s="338" customFormat="1" ht="15.75">
      <c r="A27" s="744"/>
      <c r="B27" s="745"/>
      <c r="C27" s="745"/>
      <c r="D27" s="745"/>
      <c r="E27" s="746"/>
    </row>
    <row r="28" spans="1:66" s="338" customFormat="1" ht="15.75">
      <c r="A28" s="744"/>
      <c r="B28" s="745"/>
      <c r="C28" s="745"/>
      <c r="D28" s="745"/>
      <c r="E28" s="746"/>
    </row>
    <row r="29" spans="1:66" s="338" customFormat="1" ht="15.75">
      <c r="A29" s="744"/>
      <c r="B29" s="745"/>
      <c r="C29" s="745"/>
      <c r="D29" s="745"/>
      <c r="E29" s="746"/>
    </row>
    <row r="30" spans="1:66" s="338" customFormat="1" ht="15.75">
      <c r="A30" s="744"/>
      <c r="B30" s="745"/>
      <c r="C30" s="745"/>
      <c r="D30" s="745"/>
      <c r="E30" s="746"/>
    </row>
    <row r="31" spans="1:66" s="338" customFormat="1" ht="16.5" thickBot="1">
      <c r="A31" s="744"/>
      <c r="B31" s="745"/>
      <c r="C31" s="745"/>
      <c r="D31" s="745"/>
      <c r="E31" s="746"/>
    </row>
    <row r="32" spans="1:66" s="1" customFormat="1" ht="20.100000000000001" customHeight="1" thickTop="1">
      <c r="A32" s="2633" t="s">
        <v>702</v>
      </c>
      <c r="B32" s="2633"/>
      <c r="C32" s="2633"/>
      <c r="D32" s="2633"/>
      <c r="E32" s="2633"/>
      <c r="F32" s="741"/>
      <c r="G32" s="741"/>
      <c r="H32" s="741"/>
      <c r="I32" s="741"/>
      <c r="J32" s="741"/>
      <c r="K32" s="741"/>
      <c r="L32" s="741"/>
      <c r="M32" s="741"/>
      <c r="N32" s="741"/>
      <c r="O32" s="741"/>
      <c r="P32" s="741"/>
      <c r="Q32" s="741"/>
      <c r="R32" s="741"/>
      <c r="S32" s="741"/>
      <c r="T32" s="741"/>
      <c r="U32" s="741"/>
      <c r="V32" s="741"/>
      <c r="W32" s="741"/>
      <c r="X32" s="741"/>
      <c r="Y32" s="741"/>
      <c r="Z32" s="741"/>
      <c r="AA32" s="741"/>
      <c r="AB32" s="741"/>
      <c r="AC32" s="2632"/>
      <c r="AD32" s="2632"/>
      <c r="AE32" s="2632"/>
      <c r="AF32" s="2632"/>
      <c r="AL32" s="2"/>
      <c r="AM32" s="3"/>
      <c r="AN32" s="3"/>
      <c r="AO32" s="3"/>
      <c r="AP32" s="3"/>
      <c r="AQ32" s="3"/>
      <c r="AR32" s="2"/>
      <c r="AS32" s="2"/>
      <c r="AT32" s="3"/>
      <c r="AU32" s="3"/>
      <c r="AV32" s="3"/>
      <c r="AW32" s="3"/>
      <c r="AX32" s="3"/>
      <c r="AY32" s="2"/>
      <c r="AZ32" s="2"/>
      <c r="BA32" s="3"/>
      <c r="BB32" s="3"/>
      <c r="BC32" s="3"/>
      <c r="BD32" s="3"/>
      <c r="BE32" s="3"/>
      <c r="BF32" s="2"/>
      <c r="BG32" s="2"/>
      <c r="BH32" s="3"/>
      <c r="BI32" s="3"/>
      <c r="BJ32" s="3"/>
      <c r="BK32" s="3"/>
      <c r="BL32" s="3"/>
      <c r="BM32" s="2"/>
      <c r="BN32" s="2"/>
    </row>
  </sheetData>
  <mergeCells count="4">
    <mergeCell ref="A3:E3"/>
    <mergeCell ref="A1:D1"/>
    <mergeCell ref="AC32:AF32"/>
    <mergeCell ref="A32:E32"/>
  </mergeCells>
  <printOptions horizontalCentered="1"/>
  <pageMargins left="0.59055118110236227" right="0.39370078740157483" top="0.59055118110236227" bottom="0.39370078740157483" header="0" footer="0"/>
  <pageSetup paperSize="9" scale="6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2060"/>
    <pageSetUpPr fitToPage="1"/>
  </sheetPr>
  <dimension ref="A1:BN36"/>
  <sheetViews>
    <sheetView view="pageBreakPreview" zoomScale="85" zoomScaleSheetLayoutView="85" workbookViewId="0">
      <selection activeCell="I6" sqref="I6"/>
    </sheetView>
  </sheetViews>
  <sheetFormatPr defaultColWidth="9.140625" defaultRowHeight="15"/>
  <cols>
    <col min="1" max="1" width="43.85546875" customWidth="1"/>
    <col min="2" max="4" width="14.28515625" customWidth="1"/>
    <col min="5" max="5" width="49.85546875" customWidth="1"/>
    <col min="10" max="10" width="7" customWidth="1"/>
  </cols>
  <sheetData>
    <row r="1" spans="1:66" s="1" customFormat="1" ht="24.95" customHeight="1" thickBot="1">
      <c r="A1" s="2631" t="str">
        <f>'18 - CHECKLIST 1'!A1:D1</f>
        <v>Consolidação de Elementos de Medição e Supervisão das Condições Trabalhistas</v>
      </c>
      <c r="B1" s="2631"/>
      <c r="C1" s="2631"/>
      <c r="D1" s="2631"/>
      <c r="E1" s="742" t="str">
        <f>'18 - CHECKLIST 1'!E1</f>
        <v>CMRF 03/5222-08</v>
      </c>
      <c r="F1" s="739"/>
      <c r="G1" s="739"/>
      <c r="H1" s="739"/>
      <c r="I1" s="739"/>
      <c r="J1" s="739"/>
      <c r="K1" s="350"/>
      <c r="L1" s="739"/>
      <c r="M1" s="739"/>
      <c r="N1" s="739"/>
      <c r="O1" s="739"/>
      <c r="P1" s="739"/>
      <c r="Q1" s="739"/>
      <c r="R1" s="739"/>
      <c r="S1" s="739"/>
      <c r="T1" s="739"/>
      <c r="U1" s="739"/>
      <c r="V1" s="739"/>
      <c r="W1" s="739"/>
      <c r="X1" s="739"/>
      <c r="Y1" s="739"/>
      <c r="AA1" s="350"/>
      <c r="AB1" s="350"/>
      <c r="AC1" s="350"/>
      <c r="AD1" s="350"/>
      <c r="AE1" s="350"/>
      <c r="AF1" s="350"/>
      <c r="AG1" s="3"/>
      <c r="AH1" s="3"/>
      <c r="AI1" s="3"/>
      <c r="AJ1" s="3"/>
      <c r="AK1" s="3"/>
      <c r="AL1" s="2"/>
      <c r="AM1" s="3"/>
      <c r="AN1" s="3"/>
      <c r="AO1" s="3"/>
      <c r="AP1" s="3"/>
      <c r="AQ1" s="3"/>
      <c r="AR1" s="2"/>
      <c r="AS1" s="2"/>
      <c r="AT1" s="3"/>
      <c r="AU1" s="3"/>
      <c r="AV1" s="3"/>
      <c r="AW1" s="3"/>
      <c r="AX1" s="3"/>
      <c r="AY1" s="2"/>
      <c r="AZ1" s="2"/>
      <c r="BA1" s="3"/>
      <c r="BB1" s="3"/>
      <c r="BC1" s="3"/>
      <c r="BD1" s="3"/>
      <c r="BE1" s="3"/>
      <c r="BF1" s="2"/>
      <c r="BG1" s="2"/>
      <c r="BH1" s="3"/>
      <c r="BI1" s="3"/>
      <c r="BJ1" s="3"/>
      <c r="BK1" s="3"/>
      <c r="BL1" s="3"/>
      <c r="BM1" s="2"/>
      <c r="BN1" s="2"/>
    </row>
    <row r="2" spans="1:66" s="1" customFormat="1" ht="15" customHeight="1" thickTop="1">
      <c r="A2" s="359"/>
      <c r="B2" s="740"/>
      <c r="C2" s="743"/>
      <c r="D2" s="743"/>
      <c r="E2" s="74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2"/>
      <c r="AM2" s="3"/>
      <c r="AN2" s="3"/>
      <c r="AO2" s="3"/>
      <c r="AP2" s="3"/>
      <c r="AQ2" s="3"/>
      <c r="AR2" s="2"/>
      <c r="AS2" s="2"/>
      <c r="AT2" s="3"/>
      <c r="AU2" s="3"/>
      <c r="AV2" s="3"/>
      <c r="AW2" s="3"/>
      <c r="AX2" s="3"/>
      <c r="AY2" s="2"/>
      <c r="AZ2" s="2"/>
      <c r="BA2" s="3"/>
      <c r="BB2" s="3"/>
      <c r="BC2" s="3"/>
      <c r="BD2" s="3"/>
      <c r="BE2" s="3"/>
      <c r="BF2" s="2"/>
      <c r="BG2" s="2"/>
      <c r="BH2" s="3"/>
      <c r="BI2" s="3"/>
      <c r="BJ2" s="3"/>
      <c r="BK2" s="3"/>
      <c r="BL2" s="3"/>
      <c r="BM2" s="2"/>
      <c r="BN2" s="2"/>
    </row>
    <row r="3" spans="1:66" ht="36.75" customHeight="1">
      <c r="A3" s="1986" t="s">
        <v>557</v>
      </c>
      <c r="B3" s="2634"/>
      <c r="C3" s="2634"/>
      <c r="D3" s="2634"/>
      <c r="E3" s="1984"/>
    </row>
    <row r="4" spans="1:66" ht="31.5">
      <c r="A4" s="335" t="s">
        <v>0</v>
      </c>
      <c r="B4" s="336" t="s">
        <v>315</v>
      </c>
      <c r="C4" s="335" t="s">
        <v>316</v>
      </c>
      <c r="D4" s="335" t="s">
        <v>317</v>
      </c>
      <c r="E4" s="335" t="s">
        <v>318</v>
      </c>
    </row>
    <row r="5" spans="1:66" s="338" customFormat="1" ht="45.75">
      <c r="A5" s="339" t="s">
        <v>322</v>
      </c>
      <c r="B5" s="800" t="s">
        <v>320</v>
      </c>
      <c r="C5" s="800"/>
      <c r="D5" s="800"/>
      <c r="E5" s="409" t="s">
        <v>555</v>
      </c>
      <c r="G5" s="340"/>
    </row>
    <row r="6" spans="1:66" s="338" customFormat="1" ht="120.75">
      <c r="A6" s="339" t="s">
        <v>323</v>
      </c>
      <c r="B6" s="800" t="s">
        <v>320</v>
      </c>
      <c r="C6" s="800"/>
      <c r="D6" s="800"/>
      <c r="E6" s="409" t="s">
        <v>555</v>
      </c>
      <c r="G6" s="340"/>
    </row>
    <row r="7" spans="1:66" s="338" customFormat="1" ht="105.75">
      <c r="A7" s="339" t="s">
        <v>324</v>
      </c>
      <c r="B7" s="800" t="s">
        <v>320</v>
      </c>
      <c r="C7" s="800"/>
      <c r="D7" s="800"/>
      <c r="E7" s="409" t="s">
        <v>555</v>
      </c>
      <c r="G7" s="340"/>
    </row>
    <row r="8" spans="1:66" s="338" customFormat="1" ht="105.75">
      <c r="A8" s="339" t="s">
        <v>325</v>
      </c>
      <c r="B8" s="800" t="s">
        <v>320</v>
      </c>
      <c r="C8" s="800"/>
      <c r="D8" s="800"/>
      <c r="E8" s="409" t="s">
        <v>556</v>
      </c>
      <c r="G8" s="340"/>
    </row>
    <row r="9" spans="1:66" s="338" customFormat="1" ht="90.75">
      <c r="A9" s="341" t="s">
        <v>326</v>
      </c>
      <c r="B9" s="800"/>
      <c r="C9" s="800"/>
      <c r="D9" s="800" t="s">
        <v>320</v>
      </c>
      <c r="E9" s="699"/>
    </row>
    <row r="10" spans="1:66" s="338" customFormat="1" ht="45.75">
      <c r="A10" s="341" t="s">
        <v>327</v>
      </c>
      <c r="B10" s="800"/>
      <c r="C10" s="800"/>
      <c r="D10" s="800" t="s">
        <v>320</v>
      </c>
      <c r="E10" s="699"/>
    </row>
    <row r="11" spans="1:66" s="338" customFormat="1" ht="105.75">
      <c r="A11" s="339" t="s">
        <v>328</v>
      </c>
      <c r="B11" s="800"/>
      <c r="C11" s="800"/>
      <c r="D11" s="800" t="s">
        <v>320</v>
      </c>
      <c r="E11" s="699"/>
    </row>
    <row r="12" spans="1:66" s="338" customFormat="1" ht="60.75">
      <c r="A12" s="339" t="s">
        <v>774</v>
      </c>
      <c r="B12" s="800"/>
      <c r="C12" s="800"/>
      <c r="D12" s="800" t="s">
        <v>320</v>
      </c>
      <c r="E12" s="699"/>
    </row>
    <row r="13" spans="1:66" s="338" customFormat="1" ht="15.75">
      <c r="A13" s="744"/>
      <c r="B13" s="745"/>
      <c r="C13" s="745"/>
      <c r="D13" s="745"/>
      <c r="E13" s="746"/>
    </row>
    <row r="14" spans="1:66" s="338" customFormat="1" ht="15.75">
      <c r="A14" s="744"/>
      <c r="B14" s="745"/>
      <c r="C14" s="745"/>
      <c r="D14" s="745"/>
      <c r="E14" s="746"/>
    </row>
    <row r="15" spans="1:66" s="338" customFormat="1" ht="15.75">
      <c r="A15" s="744"/>
      <c r="B15" s="745"/>
      <c r="C15" s="745"/>
      <c r="D15" s="745"/>
      <c r="E15" s="746"/>
    </row>
    <row r="16" spans="1:66" s="338" customFormat="1" ht="15.75">
      <c r="A16" s="744"/>
      <c r="B16" s="745"/>
      <c r="C16" s="745"/>
      <c r="D16" s="745"/>
      <c r="E16" s="746"/>
    </row>
    <row r="17" spans="1:5" s="338" customFormat="1" ht="15.75">
      <c r="A17" s="744"/>
      <c r="B17" s="745"/>
      <c r="C17" s="745"/>
      <c r="D17" s="745"/>
      <c r="E17" s="746"/>
    </row>
    <row r="18" spans="1:5" s="338" customFormat="1" ht="15.75">
      <c r="A18" s="744"/>
      <c r="B18" s="745"/>
      <c r="C18" s="745"/>
      <c r="D18" s="745"/>
      <c r="E18" s="746"/>
    </row>
    <row r="19" spans="1:5" s="338" customFormat="1" ht="15.75">
      <c r="A19" s="744"/>
      <c r="B19" s="745"/>
      <c r="C19" s="745"/>
      <c r="D19" s="745"/>
      <c r="E19" s="746"/>
    </row>
    <row r="20" spans="1:5" s="338" customFormat="1" ht="15.75">
      <c r="A20" s="744"/>
      <c r="B20" s="745"/>
      <c r="C20" s="745"/>
      <c r="D20" s="745"/>
      <c r="E20" s="746"/>
    </row>
    <row r="21" spans="1:5" s="338" customFormat="1" ht="15.75">
      <c r="A21" s="744"/>
      <c r="B21" s="745"/>
      <c r="C21" s="745"/>
      <c r="D21" s="745"/>
      <c r="E21" s="746"/>
    </row>
    <row r="22" spans="1:5" s="338" customFormat="1" ht="15.75">
      <c r="A22" s="744"/>
      <c r="B22" s="745"/>
      <c r="C22" s="745"/>
      <c r="D22" s="745"/>
      <c r="E22" s="746"/>
    </row>
    <row r="23" spans="1:5" s="338" customFormat="1" ht="15.75">
      <c r="A23" s="744"/>
      <c r="B23" s="745"/>
      <c r="C23" s="745"/>
      <c r="D23" s="745"/>
      <c r="E23" s="746"/>
    </row>
    <row r="24" spans="1:5" s="338" customFormat="1" ht="15.75">
      <c r="A24" s="744"/>
      <c r="B24" s="745"/>
      <c r="C24" s="745"/>
      <c r="D24" s="745"/>
      <c r="E24" s="746"/>
    </row>
    <row r="25" spans="1:5" s="338" customFormat="1" ht="15.75">
      <c r="A25" s="744"/>
      <c r="B25" s="745"/>
      <c r="C25" s="745"/>
      <c r="D25" s="745"/>
      <c r="E25" s="746"/>
    </row>
    <row r="26" spans="1:5" s="338" customFormat="1" ht="15.75">
      <c r="A26" s="744"/>
      <c r="B26" s="745"/>
      <c r="C26" s="745"/>
      <c r="D26" s="745"/>
      <c r="E26" s="746"/>
    </row>
    <row r="27" spans="1:5" s="338" customFormat="1" ht="15.75">
      <c r="A27" s="744"/>
      <c r="B27" s="745"/>
      <c r="C27" s="745"/>
      <c r="D27" s="745"/>
      <c r="E27" s="746"/>
    </row>
    <row r="28" spans="1:5" s="338" customFormat="1" ht="15.75">
      <c r="A28" s="744"/>
      <c r="B28" s="745"/>
      <c r="C28" s="745"/>
      <c r="D28" s="745"/>
      <c r="E28" s="746"/>
    </row>
    <row r="29" spans="1:5" s="338" customFormat="1" ht="15.75">
      <c r="A29" s="744"/>
      <c r="B29" s="745"/>
      <c r="C29" s="745"/>
      <c r="D29" s="745"/>
      <c r="E29" s="746"/>
    </row>
    <row r="30" spans="1:5" s="338" customFormat="1" ht="15.75">
      <c r="A30" s="744"/>
      <c r="B30" s="745"/>
      <c r="C30" s="745"/>
      <c r="D30" s="745"/>
      <c r="E30" s="746"/>
    </row>
    <row r="31" spans="1:5" s="338" customFormat="1" ht="15.75">
      <c r="A31" s="744"/>
      <c r="B31" s="745"/>
      <c r="C31" s="745"/>
      <c r="D31" s="745"/>
      <c r="E31" s="746"/>
    </row>
    <row r="32" spans="1:5" s="338" customFormat="1" ht="15.75">
      <c r="A32" s="744"/>
      <c r="B32" s="745"/>
      <c r="C32" s="745"/>
      <c r="D32" s="745"/>
      <c r="E32" s="746"/>
    </row>
    <row r="33" spans="1:66" s="338" customFormat="1" ht="15.75">
      <c r="A33" s="744"/>
      <c r="B33" s="745"/>
      <c r="C33" s="745"/>
      <c r="D33" s="745"/>
      <c r="E33" s="746"/>
    </row>
    <row r="34" spans="1:66" s="338" customFormat="1" ht="15.75">
      <c r="A34" s="744"/>
      <c r="B34" s="745"/>
      <c r="C34" s="745"/>
      <c r="D34" s="745"/>
      <c r="E34" s="746"/>
    </row>
    <row r="35" spans="1:66" s="338" customFormat="1" ht="16.5" thickBot="1">
      <c r="A35" s="744"/>
      <c r="B35" s="745"/>
      <c r="C35" s="745"/>
      <c r="D35" s="745"/>
      <c r="E35" s="746"/>
    </row>
    <row r="36" spans="1:66" s="1" customFormat="1" ht="20.100000000000001" customHeight="1" thickTop="1">
      <c r="A36" s="2633" t="str">
        <f>'18 - CHECKLIST 1'!A32:E32</f>
        <v>Execução das Obras de Macrodrenagem das Ruas Ceciliano Abel de Almeida e Lourenço Sales</v>
      </c>
      <c r="B36" s="2633"/>
      <c r="C36" s="2633"/>
      <c r="D36" s="2633"/>
      <c r="E36" s="2633"/>
      <c r="F36" s="741"/>
      <c r="G36" s="741"/>
      <c r="H36" s="741"/>
      <c r="I36" s="741"/>
      <c r="J36" s="741"/>
      <c r="K36" s="741"/>
      <c r="L36" s="741"/>
      <c r="M36" s="741"/>
      <c r="N36" s="741"/>
      <c r="O36" s="741"/>
      <c r="P36" s="741"/>
      <c r="Q36" s="741"/>
      <c r="R36" s="741"/>
      <c r="S36" s="741"/>
      <c r="T36" s="741"/>
      <c r="U36" s="741"/>
      <c r="V36" s="741"/>
      <c r="W36" s="741"/>
      <c r="X36" s="741"/>
      <c r="Y36" s="741"/>
      <c r="Z36" s="741"/>
      <c r="AA36" s="741"/>
      <c r="AB36" s="741"/>
      <c r="AC36" s="2632"/>
      <c r="AD36" s="2632"/>
      <c r="AE36" s="2632"/>
      <c r="AF36" s="2632"/>
      <c r="AL36" s="2"/>
      <c r="AM36" s="3"/>
      <c r="AN36" s="3"/>
      <c r="AO36" s="3"/>
      <c r="AP36" s="3"/>
      <c r="AQ36" s="3"/>
      <c r="AR36" s="2"/>
      <c r="AS36" s="2"/>
      <c r="AT36" s="3"/>
      <c r="AU36" s="3"/>
      <c r="AV36" s="3"/>
      <c r="AW36" s="3"/>
      <c r="AX36" s="3"/>
      <c r="AY36" s="2"/>
      <c r="AZ36" s="2"/>
      <c r="BA36" s="3"/>
      <c r="BB36" s="3"/>
      <c r="BC36" s="3"/>
      <c r="BD36" s="3"/>
      <c r="BE36" s="3"/>
      <c r="BF36" s="2"/>
      <c r="BG36" s="2"/>
      <c r="BH36" s="3"/>
      <c r="BI36" s="3"/>
      <c r="BJ36" s="3"/>
      <c r="BK36" s="3"/>
      <c r="BL36" s="3"/>
      <c r="BM36" s="2"/>
      <c r="BN36" s="2"/>
    </row>
  </sheetData>
  <mergeCells count="4">
    <mergeCell ref="A3:E3"/>
    <mergeCell ref="A1:D1"/>
    <mergeCell ref="AC36:AF36"/>
    <mergeCell ref="A36:E36"/>
  </mergeCells>
  <printOptions horizontalCentered="1"/>
  <pageMargins left="0.59055118110236227" right="0.39370078740157483" top="0.59055118110236227" bottom="0.39370078740157483" header="0" footer="0"/>
  <pageSetup paperSize="9" scale="6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4:M13"/>
  <sheetViews>
    <sheetView showGridLines="0" view="pageBreakPreview" zoomScale="60" zoomScaleNormal="100" workbookViewId="0">
      <selection activeCell="M50" sqref="M50"/>
    </sheetView>
  </sheetViews>
  <sheetFormatPr defaultRowHeight="15"/>
  <cols>
    <col min="2" max="13" width="14.7109375" customWidth="1"/>
  </cols>
  <sheetData>
    <row r="4" spans="2:13" ht="23.25">
      <c r="B4" s="2635" t="s">
        <v>273</v>
      </c>
      <c r="C4" s="2635"/>
      <c r="D4" s="2635"/>
      <c r="E4" s="2635"/>
      <c r="F4" s="2635"/>
      <c r="G4" s="2635"/>
      <c r="H4" s="2635"/>
      <c r="I4" s="2635"/>
      <c r="J4" s="2635"/>
      <c r="K4" s="2635"/>
      <c r="L4" s="2635"/>
      <c r="M4" s="2635"/>
    </row>
    <row r="7" spans="2:13">
      <c r="B7" s="2636" t="s">
        <v>261</v>
      </c>
      <c r="C7" s="2636" t="s">
        <v>262</v>
      </c>
      <c r="D7" s="2636"/>
      <c r="E7" s="2637" t="s">
        <v>263</v>
      </c>
      <c r="F7" s="2637" t="s">
        <v>264</v>
      </c>
      <c r="G7" s="2637" t="s">
        <v>265</v>
      </c>
      <c r="H7" s="2637" t="s">
        <v>266</v>
      </c>
      <c r="I7" s="2637" t="s">
        <v>267</v>
      </c>
      <c r="J7" s="2638" t="s">
        <v>268</v>
      </c>
      <c r="K7" s="2639"/>
      <c r="L7" s="2640"/>
      <c r="M7" s="2644" t="s">
        <v>269</v>
      </c>
    </row>
    <row r="8" spans="2:13" ht="15" customHeight="1">
      <c r="B8" s="2636"/>
      <c r="C8" s="2636"/>
      <c r="D8" s="2636"/>
      <c r="E8" s="2637"/>
      <c r="F8" s="2637"/>
      <c r="G8" s="2637"/>
      <c r="H8" s="2637"/>
      <c r="I8" s="2637"/>
      <c r="J8" s="2641"/>
      <c r="K8" s="2642"/>
      <c r="L8" s="2643"/>
      <c r="M8" s="2645"/>
    </row>
    <row r="9" spans="2:13" ht="15.75">
      <c r="B9" s="2636"/>
      <c r="C9" s="297" t="s">
        <v>270</v>
      </c>
      <c r="D9" s="297" t="s">
        <v>271</v>
      </c>
      <c r="E9" s="2637"/>
      <c r="F9" s="2637"/>
      <c r="G9" s="2637"/>
      <c r="H9" s="2637"/>
      <c r="I9" s="2637"/>
      <c r="J9" s="297" t="s">
        <v>271</v>
      </c>
      <c r="K9" s="297" t="s">
        <v>270</v>
      </c>
      <c r="L9" s="297" t="s">
        <v>272</v>
      </c>
      <c r="M9" s="2646"/>
    </row>
    <row r="10" spans="2:13">
      <c r="B10" s="298">
        <v>0.4</v>
      </c>
      <c r="C10" s="298">
        <v>0.72</v>
      </c>
      <c r="D10" s="298">
        <v>0.25</v>
      </c>
      <c r="E10" s="298">
        <f>C10*D10</f>
        <v>0.18</v>
      </c>
      <c r="F10" s="298">
        <v>0.06</v>
      </c>
      <c r="G10" s="298">
        <v>0.52</v>
      </c>
      <c r="H10" s="298">
        <f>3.14*0.26^2</f>
        <v>0.21226400000000004</v>
      </c>
      <c r="I10" s="298">
        <f>E10+H10</f>
        <v>0.39226400000000006</v>
      </c>
      <c r="J10" s="298">
        <v>1.4</v>
      </c>
      <c r="K10" s="298">
        <v>1.5</v>
      </c>
      <c r="L10" s="298">
        <f>J10*K10</f>
        <v>2.0999999999999996</v>
      </c>
      <c r="M10" s="298">
        <f>L10-I10</f>
        <v>1.7077359999999997</v>
      </c>
    </row>
    <row r="11" spans="2:13">
      <c r="B11" s="298">
        <v>0.6</v>
      </c>
      <c r="C11" s="298">
        <v>0.96</v>
      </c>
      <c r="D11" s="298">
        <v>0.3</v>
      </c>
      <c r="E11" s="298">
        <f>C11*D11</f>
        <v>0.28799999999999998</v>
      </c>
      <c r="F11" s="298">
        <v>0.08</v>
      </c>
      <c r="G11" s="298">
        <v>0.76</v>
      </c>
      <c r="H11" s="298">
        <f>3.14*0.38^2</f>
        <v>0.45341600000000004</v>
      </c>
      <c r="I11" s="298">
        <f>E11+H11</f>
        <v>0.74141600000000007</v>
      </c>
      <c r="J11" s="298">
        <v>1.6</v>
      </c>
      <c r="K11" s="298">
        <v>1.5</v>
      </c>
      <c r="L11" s="298">
        <f>J11*K11</f>
        <v>2.4000000000000004</v>
      </c>
      <c r="M11" s="298">
        <f>L11-I11</f>
        <v>1.6585840000000003</v>
      </c>
    </row>
    <row r="12" spans="2:13">
      <c r="B12" s="298">
        <v>1</v>
      </c>
      <c r="C12" s="298">
        <v>1.44</v>
      </c>
      <c r="D12" s="298">
        <v>0.4</v>
      </c>
      <c r="E12" s="298">
        <f>C12*D12</f>
        <v>0.57599999999999996</v>
      </c>
      <c r="F12" s="298">
        <v>0.12</v>
      </c>
      <c r="G12" s="298">
        <v>1.24</v>
      </c>
      <c r="H12" s="298">
        <f>3.14*0.62^2</f>
        <v>1.2070160000000001</v>
      </c>
      <c r="I12" s="298">
        <f>E12+H12</f>
        <v>1.7830159999999999</v>
      </c>
      <c r="J12" s="298">
        <v>1.8</v>
      </c>
      <c r="K12" s="298">
        <v>1.5</v>
      </c>
      <c r="L12" s="298">
        <f>J12*K12</f>
        <v>2.7</v>
      </c>
      <c r="M12" s="298">
        <f>L12-I12</f>
        <v>0.91698400000000024</v>
      </c>
    </row>
    <row r="13" spans="2:13">
      <c r="B13" s="298">
        <v>1.2</v>
      </c>
      <c r="C13" s="298">
        <v>1.66</v>
      </c>
      <c r="D13" s="298">
        <v>0.45</v>
      </c>
      <c r="E13" s="298">
        <f>C13*D13</f>
        <v>0.747</v>
      </c>
      <c r="F13" s="298">
        <v>0.13</v>
      </c>
      <c r="G13" s="298">
        <v>1.46</v>
      </c>
      <c r="H13" s="298">
        <f>3.14*0.73^2</f>
        <v>1.6733059999999997</v>
      </c>
      <c r="I13" s="298">
        <f>E13+H13</f>
        <v>2.4203059999999996</v>
      </c>
      <c r="J13" s="298">
        <v>2</v>
      </c>
      <c r="K13" s="298">
        <v>1.5</v>
      </c>
      <c r="L13" s="298">
        <f>J13*K13</f>
        <v>3</v>
      </c>
      <c r="M13" s="298">
        <f>L13-I13</f>
        <v>0.57969400000000038</v>
      </c>
    </row>
  </sheetData>
  <mergeCells count="10">
    <mergeCell ref="B4:M4"/>
    <mergeCell ref="B7:B9"/>
    <mergeCell ref="C7:D8"/>
    <mergeCell ref="E7:E9"/>
    <mergeCell ref="F7:F9"/>
    <mergeCell ref="G7:G9"/>
    <mergeCell ref="H7:H9"/>
    <mergeCell ref="I7:I9"/>
    <mergeCell ref="J7:L8"/>
    <mergeCell ref="M7:M9"/>
  </mergeCells>
  <pageMargins left="0.511811024" right="0.511811024" top="0.78740157499999996" bottom="0.78740157499999996" header="0.31496062000000002" footer="0.31496062000000002"/>
  <pageSetup paperSize="9" scale="4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446A2C"/>
    <pageSetUpPr fitToPage="1"/>
  </sheetPr>
  <dimension ref="A1:AJ52"/>
  <sheetViews>
    <sheetView showGridLines="0" view="pageBreakPreview" topLeftCell="A10" zoomScale="60" zoomScaleNormal="75" workbookViewId="0">
      <selection activeCell="R32" sqref="R32"/>
    </sheetView>
  </sheetViews>
  <sheetFormatPr defaultRowHeight="12.75"/>
  <cols>
    <col min="1" max="1" width="9.140625" style="12"/>
    <col min="2" max="2" width="18.7109375" style="74" bestFit="1"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1" width="16.140625" style="8" customWidth="1"/>
    <col min="12" max="15" width="15.7109375" style="8" customWidth="1"/>
    <col min="16" max="16" width="17.7109375" style="8" customWidth="1"/>
    <col min="17" max="18" width="15.7109375" style="8" customWidth="1"/>
    <col min="19" max="19" width="9" style="8" customWidth="1"/>
    <col min="20" max="20" width="16.140625" style="8" customWidth="1"/>
    <col min="21" max="21" width="38.140625" style="8" bestFit="1" customWidth="1"/>
    <col min="22" max="27" width="9.140625" style="8" customWidth="1"/>
    <col min="28" max="28" width="12.7109375" style="15" customWidth="1"/>
    <col min="29" max="16384" width="9.140625" style="8"/>
  </cols>
  <sheetData>
    <row r="1" spans="1:36" ht="18.75" customHeight="1">
      <c r="B1" s="2652" t="s">
        <v>115</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655" t="s">
        <v>9</v>
      </c>
      <c r="C6" s="2656"/>
      <c r="D6" s="2656"/>
      <c r="E6" s="2656"/>
      <c r="F6" s="2656"/>
      <c r="G6" s="2656"/>
      <c r="H6" s="2656"/>
      <c r="I6" s="2657"/>
      <c r="J6" s="238"/>
      <c r="K6" s="2649" t="s">
        <v>10</v>
      </c>
      <c r="L6" s="2650"/>
      <c r="M6" s="2650"/>
      <c r="N6" s="2650"/>
      <c r="O6" s="2650"/>
      <c r="P6" s="2650"/>
      <c r="Q6" s="2650"/>
      <c r="R6" s="2650"/>
      <c r="S6" s="2650"/>
      <c r="T6" s="2650"/>
      <c r="U6" s="2651"/>
      <c r="V6" s="99"/>
      <c r="W6" s="99"/>
      <c r="X6" s="99"/>
      <c r="Y6" s="99"/>
      <c r="Z6" s="99"/>
      <c r="AA6" s="99"/>
      <c r="AB6" s="17"/>
    </row>
    <row r="7" spans="1:36" s="20" customFormat="1" ht="15.75">
      <c r="A7" s="19"/>
      <c r="B7" s="152" t="s">
        <v>96</v>
      </c>
      <c r="C7" s="149" t="e">
        <f>#REF!</f>
        <v>#REF!</v>
      </c>
      <c r="D7" s="145"/>
      <c r="E7" s="92"/>
      <c r="F7" s="92"/>
      <c r="G7" s="145"/>
      <c r="H7" s="92"/>
      <c r="I7" s="92"/>
      <c r="J7" s="200"/>
      <c r="K7" s="151" t="s">
        <v>190</v>
      </c>
      <c r="L7" s="94"/>
      <c r="M7" s="93"/>
      <c r="N7" s="93"/>
      <c r="O7" s="93"/>
      <c r="P7" s="93"/>
      <c r="Q7" s="93"/>
      <c r="R7" s="93"/>
      <c r="S7" s="94"/>
      <c r="T7" s="94"/>
      <c r="U7" s="95"/>
      <c r="AB7" s="21"/>
    </row>
    <row r="8" spans="1:36" s="20" customFormat="1" ht="15.75">
      <c r="A8" s="19"/>
      <c r="B8" s="148" t="s">
        <v>79</v>
      </c>
      <c r="C8" s="149" t="e">
        <f>#REF!</f>
        <v>#REF!</v>
      </c>
      <c r="D8" s="145"/>
      <c r="E8" s="92"/>
      <c r="F8" s="92"/>
      <c r="G8" s="145"/>
      <c r="H8" s="92"/>
      <c r="I8" s="92"/>
      <c r="J8" s="144"/>
      <c r="K8" s="146" t="s">
        <v>191</v>
      </c>
      <c r="L8" s="145"/>
      <c r="M8" s="145"/>
      <c r="N8" s="96"/>
      <c r="O8" s="96"/>
      <c r="P8" s="96"/>
      <c r="Q8" s="96"/>
      <c r="R8" s="96"/>
      <c r="S8" s="145"/>
      <c r="T8" s="2647"/>
      <c r="U8" s="2648"/>
      <c r="AB8" s="21"/>
    </row>
    <row r="9" spans="1:36" s="20" customFormat="1" ht="15.75">
      <c r="A9" s="19"/>
      <c r="B9" s="148" t="s">
        <v>11</v>
      </c>
      <c r="C9" s="147" t="e">
        <f>VLOOKUP(B9,[0]!_xlnm.Print_Area,2,FALSE)</f>
        <v>#REF!</v>
      </c>
      <c r="D9" s="145"/>
      <c r="E9" s="92"/>
      <c r="F9" s="92"/>
      <c r="G9" s="145"/>
      <c r="H9" s="92"/>
      <c r="I9" s="92"/>
      <c r="J9" s="144"/>
      <c r="K9" s="146" t="s">
        <v>192</v>
      </c>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147" t="e">
        <f>VLOOKUP(B10,[0]!_xlnm.Print_Area,2,FALSE)</f>
        <v>#REF!</v>
      </c>
      <c r="D10" s="145"/>
      <c r="E10" s="92"/>
      <c r="F10" s="92"/>
      <c r="G10" s="145"/>
      <c r="H10" s="92"/>
      <c r="I10" s="92"/>
      <c r="J10" s="201"/>
      <c r="K10" s="146" t="s">
        <v>193</v>
      </c>
      <c r="L10" s="92"/>
      <c r="M10" s="92"/>
      <c r="N10" s="92"/>
      <c r="O10" s="92"/>
      <c r="P10" s="202"/>
      <c r="Q10" s="92"/>
      <c r="R10" s="92"/>
      <c r="S10" s="92"/>
      <c r="T10" s="2660"/>
      <c r="U10" s="2661"/>
      <c r="AA10" s="22"/>
      <c r="AB10" s="22"/>
      <c r="AC10" s="22"/>
      <c r="AD10" s="22"/>
      <c r="AE10" s="22"/>
      <c r="AF10" s="22"/>
      <c r="AG10" s="22"/>
      <c r="AH10" s="22"/>
      <c r="AI10" s="22"/>
      <c r="AJ10" s="22"/>
    </row>
    <row r="11" spans="1:36" s="29" customFormat="1" ht="21" customHeight="1">
      <c r="A11" s="23"/>
      <c r="B11" s="143">
        <v>1</v>
      </c>
      <c r="C11" s="2662" t="s">
        <v>81</v>
      </c>
      <c r="D11" s="2663"/>
      <c r="E11" s="2663"/>
      <c r="F11" s="2663"/>
      <c r="G11" s="2663"/>
      <c r="H11" s="2663"/>
      <c r="I11" s="2663"/>
      <c r="J11" s="2663"/>
      <c r="K11" s="2663"/>
      <c r="L11" s="2663"/>
      <c r="M11" s="242"/>
      <c r="N11" s="242"/>
      <c r="O11" s="245"/>
      <c r="P11" s="242"/>
      <c r="Q11" s="242"/>
      <c r="R11" s="242"/>
      <c r="S11" s="242"/>
      <c r="T11" s="242"/>
      <c r="U11" s="243"/>
      <c r="V11" s="26"/>
      <c r="W11" s="26"/>
      <c r="X11" s="26"/>
      <c r="Y11" s="26"/>
      <c r="Z11" s="27"/>
      <c r="AA11" s="28"/>
      <c r="AB11" s="28"/>
      <c r="AC11" s="28"/>
      <c r="AD11" s="28"/>
      <c r="AE11" s="28"/>
      <c r="AF11" s="28"/>
      <c r="AG11" s="28"/>
      <c r="AH11" s="28"/>
      <c r="AI11" s="28"/>
      <c r="AJ11" s="28"/>
    </row>
    <row r="12" spans="1:36" s="29" customFormat="1" ht="25.5" customHeight="1">
      <c r="A12" s="23"/>
      <c r="B12" s="2664" t="e">
        <f>VLOOKUP(A52,#REF!,2,FALSE)</f>
        <v>#REF!</v>
      </c>
      <c r="C12" s="2665" t="e">
        <f>VLOOKUP(A52,#REF!,3,FALSE)</f>
        <v>#REF!</v>
      </c>
      <c r="D12" s="2666" t="s">
        <v>97</v>
      </c>
      <c r="E12" s="2666"/>
      <c r="F12" s="2666"/>
      <c r="G12" s="2666"/>
      <c r="H12" s="2666"/>
      <c r="I12" s="2666"/>
      <c r="J12" s="2667" t="s">
        <v>98</v>
      </c>
      <c r="K12" s="2668" t="s">
        <v>102</v>
      </c>
      <c r="L12" s="2668" t="s">
        <v>222</v>
      </c>
      <c r="M12" s="2668" t="s">
        <v>233</v>
      </c>
      <c r="N12" s="2668" t="s">
        <v>234</v>
      </c>
      <c r="O12" s="2668" t="s">
        <v>223</v>
      </c>
      <c r="P12" s="2668" t="s">
        <v>111</v>
      </c>
      <c r="Q12" s="2668" t="s">
        <v>16</v>
      </c>
      <c r="R12" s="2668" t="s">
        <v>2</v>
      </c>
      <c r="S12" s="2668" t="s">
        <v>99</v>
      </c>
      <c r="T12" s="2668" t="s">
        <v>17</v>
      </c>
      <c r="U12" s="2667" t="s">
        <v>110</v>
      </c>
      <c r="V12" s="26"/>
      <c r="W12" s="26"/>
      <c r="X12" s="26"/>
      <c r="Y12" s="26"/>
      <c r="Z12" s="27"/>
      <c r="AA12" s="28"/>
      <c r="AB12" s="28"/>
      <c r="AC12" s="28"/>
      <c r="AD12" s="28"/>
      <c r="AE12" s="28"/>
      <c r="AF12" s="28"/>
      <c r="AG12" s="28"/>
      <c r="AH12" s="28"/>
      <c r="AI12" s="28"/>
      <c r="AJ12" s="28"/>
    </row>
    <row r="13" spans="1:36" s="29" customFormat="1" ht="19.5" customHeight="1">
      <c r="A13" s="23"/>
      <c r="B13" s="2664"/>
      <c r="C13" s="2665"/>
      <c r="D13" s="2669" t="s">
        <v>14</v>
      </c>
      <c r="E13" s="2669"/>
      <c r="F13" s="2669"/>
      <c r="G13" s="2667" t="s">
        <v>15</v>
      </c>
      <c r="H13" s="2667"/>
      <c r="I13" s="2667"/>
      <c r="J13" s="2667"/>
      <c r="K13" s="2417"/>
      <c r="L13" s="2417"/>
      <c r="M13" s="2417"/>
      <c r="N13" s="2417"/>
      <c r="O13" s="2417"/>
      <c r="P13" s="2417"/>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39"/>
      <c r="C14" s="58" t="s">
        <v>230</v>
      </c>
      <c r="D14" s="82">
        <v>115</v>
      </c>
      <c r="E14" s="44" t="s">
        <v>68</v>
      </c>
      <c r="F14" s="83">
        <v>5</v>
      </c>
      <c r="G14" s="82">
        <v>115</v>
      </c>
      <c r="H14" s="44" t="s">
        <v>68</v>
      </c>
      <c r="I14" s="83">
        <v>19</v>
      </c>
      <c r="J14" s="46" t="s">
        <v>105</v>
      </c>
      <c r="K14" s="47">
        <f>((G14-D14)*20)+(I14-F14)</f>
        <v>14</v>
      </c>
      <c r="L14" s="48">
        <v>2.89</v>
      </c>
      <c r="M14" s="49">
        <v>1.77</v>
      </c>
      <c r="N14" s="50">
        <f>K14*L14</f>
        <v>40.46</v>
      </c>
      <c r="O14" s="50">
        <f>M14*N14</f>
        <v>71.614199999999997</v>
      </c>
      <c r="P14" s="35"/>
      <c r="Q14" s="53"/>
      <c r="R14" s="37">
        <f>O14</f>
        <v>71.614199999999997</v>
      </c>
      <c r="S14" s="38" t="s">
        <v>5</v>
      </c>
      <c r="T14" s="194" t="s">
        <v>85</v>
      </c>
      <c r="U14" s="39"/>
      <c r="V14" s="26"/>
      <c r="W14" s="26"/>
      <c r="X14" s="26"/>
      <c r="Y14" s="26"/>
      <c r="Z14" s="27"/>
    </row>
    <row r="15" spans="1:36" s="28" customFormat="1" ht="20.100000000000001" customHeight="1">
      <c r="A15" s="129"/>
      <c r="B15" s="139"/>
      <c r="C15" s="58" t="s">
        <v>199</v>
      </c>
      <c r="D15" s="31">
        <v>1000</v>
      </c>
      <c r="E15" s="32" t="s">
        <v>68</v>
      </c>
      <c r="F15" s="33">
        <v>6</v>
      </c>
      <c r="G15" s="31">
        <v>1002</v>
      </c>
      <c r="H15" s="32" t="s">
        <v>68</v>
      </c>
      <c r="I15" s="33">
        <v>4</v>
      </c>
      <c r="J15" s="46" t="s">
        <v>105</v>
      </c>
      <c r="K15" s="35"/>
      <c r="L15" s="48"/>
      <c r="M15" s="49"/>
      <c r="N15" s="50"/>
      <c r="O15" s="48">
        <v>577.66999999999996</v>
      </c>
      <c r="P15" s="48"/>
      <c r="Q15" s="209"/>
      <c r="R15" s="209">
        <f>O15</f>
        <v>577.66999999999996</v>
      </c>
      <c r="S15" s="54" t="s">
        <v>5</v>
      </c>
      <c r="T15" s="90" t="s">
        <v>87</v>
      </c>
      <c r="U15" s="39" t="s">
        <v>231</v>
      </c>
      <c r="V15" s="26"/>
      <c r="W15" s="26"/>
      <c r="X15" s="26"/>
      <c r="Y15" s="26"/>
      <c r="Z15" s="27"/>
    </row>
    <row r="16" spans="1:36" s="28" customFormat="1" ht="20.100000000000001" customHeight="1">
      <c r="A16" s="129"/>
      <c r="B16" s="139"/>
      <c r="C16" s="79"/>
      <c r="D16" s="156"/>
      <c r="E16" s="86"/>
      <c r="F16" s="155"/>
      <c r="G16" s="85"/>
      <c r="H16" s="86"/>
      <c r="I16" s="87"/>
      <c r="J16" s="77"/>
      <c r="K16" s="224"/>
      <c r="L16" s="134"/>
      <c r="M16" s="136"/>
      <c r="N16" s="135"/>
      <c r="O16" s="135"/>
      <c r="P16" s="134"/>
      <c r="Q16" s="225"/>
      <c r="R16" s="225"/>
      <c r="S16" s="132"/>
      <c r="T16" s="262"/>
      <c r="U16" s="130"/>
      <c r="V16" s="26"/>
      <c r="W16" s="26"/>
      <c r="X16" s="26"/>
      <c r="Y16" s="26"/>
      <c r="Z16" s="27"/>
      <c r="AA16" s="41"/>
      <c r="AB16" s="114"/>
    </row>
    <row r="17" spans="1:28" s="28" customFormat="1" ht="20.100000000000001" customHeight="1">
      <c r="A17" s="129"/>
      <c r="B17" s="139"/>
      <c r="C17" s="79"/>
      <c r="D17" s="156"/>
      <c r="E17" s="86"/>
      <c r="F17" s="155"/>
      <c r="G17" s="85"/>
      <c r="H17" s="86"/>
      <c r="I17" s="87"/>
      <c r="J17" s="77"/>
      <c r="K17" s="224"/>
      <c r="L17" s="134"/>
      <c r="M17" s="136"/>
      <c r="N17" s="135"/>
      <c r="O17" s="135"/>
      <c r="P17" s="134"/>
      <c r="Q17" s="225"/>
      <c r="R17" s="225"/>
      <c r="S17" s="132"/>
      <c r="T17" s="262"/>
      <c r="U17" s="130"/>
      <c r="V17" s="26"/>
      <c r="W17" s="26"/>
      <c r="X17" s="26"/>
      <c r="Y17" s="26"/>
      <c r="Z17" s="27"/>
      <c r="AA17" s="41"/>
      <c r="AB17" s="114"/>
    </row>
    <row r="18" spans="1:28" s="28" customFormat="1" ht="20.100000000000001" customHeight="1">
      <c r="A18" s="129"/>
      <c r="B18" s="139"/>
      <c r="C18" s="79"/>
      <c r="D18" s="156"/>
      <c r="E18" s="86"/>
      <c r="F18" s="155"/>
      <c r="G18" s="85"/>
      <c r="H18" s="86"/>
      <c r="I18" s="87"/>
      <c r="J18" s="77"/>
      <c r="K18" s="224"/>
      <c r="L18" s="134"/>
      <c r="M18" s="136"/>
      <c r="N18" s="135"/>
      <c r="O18" s="135"/>
      <c r="P18" s="134"/>
      <c r="Q18" s="225"/>
      <c r="R18" s="225"/>
      <c r="S18" s="132"/>
      <c r="T18" s="262"/>
      <c r="U18" s="130"/>
      <c r="V18" s="26"/>
      <c r="W18" s="26"/>
      <c r="X18" s="26"/>
      <c r="Y18" s="26"/>
      <c r="Z18" s="27"/>
      <c r="AA18" s="41"/>
      <c r="AB18" s="114"/>
    </row>
    <row r="19" spans="1:28" s="28" customFormat="1" ht="20.100000000000001" customHeight="1">
      <c r="A19" s="129"/>
      <c r="B19" s="139"/>
      <c r="C19" s="79"/>
      <c r="D19" s="156"/>
      <c r="E19" s="86"/>
      <c r="F19" s="155"/>
      <c r="G19" s="85"/>
      <c r="H19" s="86"/>
      <c r="I19" s="87"/>
      <c r="J19" s="77"/>
      <c r="K19" s="224"/>
      <c r="L19" s="134"/>
      <c r="M19" s="136"/>
      <c r="N19" s="135"/>
      <c r="O19" s="135"/>
      <c r="P19" s="134"/>
      <c r="Q19" s="225"/>
      <c r="R19" s="225"/>
      <c r="S19" s="132"/>
      <c r="T19" s="262"/>
      <c r="U19" s="130"/>
      <c r="V19" s="26"/>
      <c r="W19" s="26"/>
      <c r="X19" s="26"/>
      <c r="Y19" s="26"/>
      <c r="Z19" s="27"/>
      <c r="AA19" s="41"/>
      <c r="AB19" s="114"/>
    </row>
    <row r="20" spans="1:28" s="28" customFormat="1" ht="20.100000000000001" customHeight="1">
      <c r="A20" s="129"/>
      <c r="B20" s="139"/>
      <c r="C20" s="79"/>
      <c r="D20" s="156"/>
      <c r="E20" s="86"/>
      <c r="F20" s="155"/>
      <c r="G20" s="85"/>
      <c r="H20" s="86"/>
      <c r="I20" s="87"/>
      <c r="J20" s="77"/>
      <c r="K20" s="224"/>
      <c r="L20" s="134"/>
      <c r="M20" s="136"/>
      <c r="N20" s="135"/>
      <c r="O20" s="135"/>
      <c r="P20" s="134"/>
      <c r="Q20" s="225"/>
      <c r="R20" s="225"/>
      <c r="S20" s="132"/>
      <c r="T20" s="262"/>
      <c r="U20" s="130"/>
      <c r="V20" s="26"/>
      <c r="W20" s="26"/>
      <c r="X20" s="26"/>
      <c r="Y20" s="26"/>
      <c r="Z20" s="27"/>
      <c r="AA20" s="41"/>
      <c r="AB20" s="114"/>
    </row>
    <row r="21" spans="1:28" s="28" customFormat="1" ht="20.100000000000001" customHeight="1">
      <c r="A21" s="129"/>
      <c r="B21" s="139"/>
      <c r="C21" s="79"/>
      <c r="D21" s="156"/>
      <c r="E21" s="86"/>
      <c r="F21" s="155"/>
      <c r="G21" s="85"/>
      <c r="H21" s="86"/>
      <c r="I21" s="87"/>
      <c r="J21" s="77"/>
      <c r="K21" s="224"/>
      <c r="L21" s="134"/>
      <c r="M21" s="136"/>
      <c r="N21" s="135"/>
      <c r="O21" s="135"/>
      <c r="P21" s="134"/>
      <c r="Q21" s="225"/>
      <c r="R21" s="225"/>
      <c r="S21" s="132"/>
      <c r="T21" s="262"/>
      <c r="U21" s="130"/>
      <c r="V21" s="26"/>
      <c r="W21" s="26"/>
      <c r="X21" s="26"/>
      <c r="Y21" s="26"/>
      <c r="Z21" s="27"/>
      <c r="AA21" s="41"/>
      <c r="AB21" s="114"/>
    </row>
    <row r="22" spans="1:28" s="28" customFormat="1" ht="20.100000000000001" customHeight="1">
      <c r="A22" s="129"/>
      <c r="B22" s="139"/>
      <c r="C22" s="79"/>
      <c r="D22" s="85"/>
      <c r="E22" s="86"/>
      <c r="F22" s="87"/>
      <c r="G22" s="85"/>
      <c r="H22" s="86"/>
      <c r="I22" s="87"/>
      <c r="J22" s="138"/>
      <c r="K22" s="137"/>
      <c r="L22" s="134"/>
      <c r="M22" s="136"/>
      <c r="N22" s="135"/>
      <c r="O22" s="135"/>
      <c r="P22" s="134"/>
      <c r="Q22" s="225"/>
      <c r="R22" s="225"/>
      <c r="S22" s="132"/>
      <c r="T22" s="131"/>
      <c r="U22" s="130"/>
      <c r="V22" s="26"/>
      <c r="W22" s="26"/>
      <c r="X22" s="26"/>
      <c r="Y22" s="26"/>
      <c r="Z22" s="27"/>
      <c r="AA22" s="41"/>
      <c r="AB22" s="114"/>
    </row>
    <row r="23" spans="1:28" s="28" customFormat="1" ht="20.100000000000001" customHeight="1">
      <c r="A23" s="129"/>
      <c r="B23" s="139"/>
      <c r="C23" s="79"/>
      <c r="D23" s="85"/>
      <c r="E23" s="86"/>
      <c r="F23" s="87"/>
      <c r="G23" s="85"/>
      <c r="H23" s="86"/>
      <c r="I23" s="87"/>
      <c r="J23" s="138"/>
      <c r="K23" s="137"/>
      <c r="L23" s="134"/>
      <c r="M23" s="136"/>
      <c r="N23" s="135"/>
      <c r="O23" s="135"/>
      <c r="P23" s="134"/>
      <c r="Q23" s="225"/>
      <c r="R23" s="225"/>
      <c r="S23" s="132"/>
      <c r="T23" s="131"/>
      <c r="U23" s="130"/>
      <c r="V23" s="26"/>
      <c r="W23" s="26"/>
      <c r="X23" s="26"/>
      <c r="Y23" s="26"/>
      <c r="Z23" s="27"/>
      <c r="AA23" s="41"/>
      <c r="AB23" s="114"/>
    </row>
    <row r="24" spans="1:28" s="28" customFormat="1" ht="20.100000000000001" customHeight="1">
      <c r="A24" s="129"/>
      <c r="B24" s="139"/>
      <c r="C24" s="79"/>
      <c r="D24" s="85"/>
      <c r="E24" s="86"/>
      <c r="F24" s="87"/>
      <c r="G24" s="85"/>
      <c r="H24" s="86"/>
      <c r="I24" s="87"/>
      <c r="J24" s="138"/>
      <c r="K24" s="137"/>
      <c r="L24" s="134"/>
      <c r="M24" s="136"/>
      <c r="N24" s="135"/>
      <c r="O24" s="135"/>
      <c r="P24" s="134"/>
      <c r="Q24" s="225"/>
      <c r="R24" s="225"/>
      <c r="S24" s="132"/>
      <c r="T24" s="131"/>
      <c r="U24" s="130"/>
      <c r="V24" s="26"/>
      <c r="W24" s="26"/>
      <c r="X24" s="26"/>
      <c r="Y24" s="26"/>
      <c r="Z24" s="27"/>
      <c r="AA24" s="41"/>
      <c r="AB24" s="114"/>
    </row>
    <row r="25" spans="1:28" s="28" customFormat="1" ht="20.100000000000001" customHeight="1">
      <c r="A25" s="129"/>
      <c r="B25" s="139"/>
      <c r="C25" s="79"/>
      <c r="D25" s="85"/>
      <c r="E25" s="86"/>
      <c r="F25" s="87"/>
      <c r="G25" s="85"/>
      <c r="H25" s="86"/>
      <c r="I25" s="87"/>
      <c r="J25" s="138"/>
      <c r="K25" s="137"/>
      <c r="L25" s="134"/>
      <c r="M25" s="136"/>
      <c r="N25" s="135"/>
      <c r="O25" s="135"/>
      <c r="P25" s="134"/>
      <c r="Q25" s="225"/>
      <c r="R25" s="225"/>
      <c r="S25" s="154"/>
      <c r="T25" s="153"/>
      <c r="U25" s="130"/>
      <c r="V25" s="26"/>
      <c r="W25" s="26"/>
      <c r="X25" s="26"/>
      <c r="Y25" s="26"/>
      <c r="Z25" s="27"/>
      <c r="AA25" s="41"/>
      <c r="AB25" s="114"/>
    </row>
    <row r="26" spans="1:28" s="28" customFormat="1" ht="20.100000000000001" customHeight="1">
      <c r="A26" s="129"/>
      <c r="B26" s="139"/>
      <c r="C26" s="79"/>
      <c r="D26" s="85"/>
      <c r="E26" s="86"/>
      <c r="F26" s="87"/>
      <c r="G26" s="85"/>
      <c r="H26" s="86"/>
      <c r="I26" s="87"/>
      <c r="J26" s="138"/>
      <c r="K26" s="137"/>
      <c r="L26" s="134"/>
      <c r="M26" s="136"/>
      <c r="N26" s="135"/>
      <c r="O26" s="135"/>
      <c r="P26" s="134"/>
      <c r="Q26" s="225"/>
      <c r="R26" s="225"/>
      <c r="S26" s="132"/>
      <c r="T26" s="131"/>
      <c r="U26" s="130"/>
      <c r="V26" s="26"/>
      <c r="W26" s="26"/>
      <c r="X26" s="26"/>
      <c r="Y26" s="26"/>
      <c r="Z26" s="27"/>
      <c r="AA26" s="41"/>
      <c r="AB26" s="114"/>
    </row>
    <row r="27" spans="1:28" s="28" customFormat="1" ht="20.100000000000001" customHeight="1">
      <c r="A27" s="129"/>
      <c r="B27" s="139"/>
      <c r="C27" s="79"/>
      <c r="D27" s="85"/>
      <c r="E27" s="86"/>
      <c r="F27" s="87"/>
      <c r="G27" s="85"/>
      <c r="H27" s="86"/>
      <c r="I27" s="87"/>
      <c r="J27" s="138"/>
      <c r="K27" s="137"/>
      <c r="L27" s="134"/>
      <c r="M27" s="136"/>
      <c r="N27" s="135"/>
      <c r="O27" s="135"/>
      <c r="P27" s="134"/>
      <c r="Q27" s="225"/>
      <c r="R27" s="225"/>
      <c r="S27" s="132"/>
      <c r="T27" s="131"/>
      <c r="U27" s="130"/>
      <c r="V27" s="26"/>
      <c r="W27" s="26"/>
      <c r="X27" s="26"/>
      <c r="Y27" s="26"/>
      <c r="Z27" s="27"/>
      <c r="AA27" s="41"/>
      <c r="AB27" s="114"/>
    </row>
    <row r="28" spans="1:28" s="28" customFormat="1" ht="20.100000000000001" customHeight="1">
      <c r="A28" s="129"/>
      <c r="B28" s="139"/>
      <c r="C28" s="79"/>
      <c r="D28" s="85"/>
      <c r="E28" s="86"/>
      <c r="F28" s="87"/>
      <c r="G28" s="85"/>
      <c r="H28" s="86"/>
      <c r="I28" s="87"/>
      <c r="J28" s="138"/>
      <c r="K28" s="137"/>
      <c r="L28" s="134"/>
      <c r="M28" s="136"/>
      <c r="N28" s="135"/>
      <c r="O28" s="135"/>
      <c r="P28" s="134"/>
      <c r="Q28" s="225"/>
      <c r="R28" s="225"/>
      <c r="S28" s="132"/>
      <c r="T28" s="131"/>
      <c r="U28" s="130"/>
      <c r="V28" s="26"/>
      <c r="W28" s="26"/>
      <c r="X28" s="26"/>
      <c r="Y28" s="26"/>
      <c r="Z28" s="27"/>
      <c r="AA28" s="41"/>
      <c r="AB28" s="114"/>
    </row>
    <row r="29" spans="1:28" s="28" customFormat="1" ht="20.100000000000001" customHeight="1">
      <c r="A29" s="129"/>
      <c r="B29" s="139"/>
      <c r="C29" s="79"/>
      <c r="D29" s="85"/>
      <c r="E29" s="86"/>
      <c r="F29" s="87"/>
      <c r="G29" s="85"/>
      <c r="H29" s="86"/>
      <c r="I29" s="87"/>
      <c r="J29" s="138"/>
      <c r="K29" s="137"/>
      <c r="L29" s="134"/>
      <c r="M29" s="136"/>
      <c r="N29" s="135"/>
      <c r="O29" s="135"/>
      <c r="P29" s="134"/>
      <c r="Q29" s="225"/>
      <c r="R29" s="225"/>
      <c r="S29" s="132"/>
      <c r="T29" s="131"/>
      <c r="U29" s="130"/>
      <c r="V29" s="26"/>
      <c r="W29" s="26"/>
      <c r="X29" s="26"/>
      <c r="Y29" s="26"/>
      <c r="Z29" s="27"/>
      <c r="AA29" s="41"/>
      <c r="AB29" s="114"/>
    </row>
    <row r="30" spans="1:28" s="28" customFormat="1" ht="20.100000000000001" customHeight="1">
      <c r="A30" s="129"/>
      <c r="B30" s="139"/>
      <c r="C30" s="79"/>
      <c r="D30" s="85"/>
      <c r="E30" s="86"/>
      <c r="F30" s="87"/>
      <c r="G30" s="85"/>
      <c r="H30" s="86"/>
      <c r="I30" s="87"/>
      <c r="J30" s="138"/>
      <c r="K30" s="137"/>
      <c r="L30" s="134"/>
      <c r="M30" s="136"/>
      <c r="N30" s="135"/>
      <c r="O30" s="135"/>
      <c r="P30" s="134"/>
      <c r="Q30" s="225"/>
      <c r="R30" s="225"/>
      <c r="S30" s="132"/>
      <c r="T30" s="131"/>
      <c r="U30" s="130"/>
      <c r="V30" s="26"/>
      <c r="W30" s="26"/>
      <c r="X30" s="26"/>
      <c r="Y30" s="26"/>
      <c r="Z30" s="27"/>
      <c r="AA30" s="41"/>
      <c r="AB30" s="114"/>
    </row>
    <row r="31" spans="1:28" s="28" customFormat="1" ht="20.100000000000001" customHeight="1">
      <c r="A31" s="129"/>
      <c r="B31" s="139"/>
      <c r="C31" s="79"/>
      <c r="D31" s="85"/>
      <c r="E31" s="86"/>
      <c r="F31" s="87"/>
      <c r="G31" s="85"/>
      <c r="H31" s="86"/>
      <c r="I31" s="87"/>
      <c r="J31" s="138"/>
      <c r="K31" s="137"/>
      <c r="L31" s="134"/>
      <c r="M31" s="136"/>
      <c r="N31" s="135"/>
      <c r="O31" s="135"/>
      <c r="P31" s="134"/>
      <c r="Q31" s="225"/>
      <c r="R31" s="225"/>
      <c r="S31" s="132"/>
      <c r="T31" s="131"/>
      <c r="U31" s="130"/>
      <c r="V31" s="26"/>
      <c r="W31" s="26"/>
      <c r="X31" s="26"/>
      <c r="Y31" s="26"/>
      <c r="Z31" s="27"/>
      <c r="AA31" s="41"/>
      <c r="AB31" s="114"/>
    </row>
    <row r="32" spans="1:28" s="28" customFormat="1" ht="20.100000000000001" customHeight="1">
      <c r="A32" s="129"/>
      <c r="B32" s="139"/>
      <c r="C32" s="79"/>
      <c r="D32" s="85"/>
      <c r="E32" s="86"/>
      <c r="F32" s="87"/>
      <c r="G32" s="85"/>
      <c r="H32" s="86"/>
      <c r="I32" s="87"/>
      <c r="J32" s="138"/>
      <c r="K32" s="137"/>
      <c r="L32" s="134"/>
      <c r="M32" s="136"/>
      <c r="N32" s="135"/>
      <c r="O32" s="135"/>
      <c r="P32" s="134"/>
      <c r="Q32" s="225"/>
      <c r="R32" s="225"/>
      <c r="S32" s="132"/>
      <c r="T32" s="131"/>
      <c r="U32" s="130"/>
      <c r="V32" s="26"/>
      <c r="W32" s="26"/>
      <c r="X32" s="26"/>
      <c r="Y32" s="26"/>
      <c r="Z32" s="27"/>
      <c r="AA32" s="41"/>
      <c r="AB32" s="114"/>
    </row>
    <row r="33" spans="1:28" s="28" customFormat="1" ht="20.100000000000001" customHeight="1">
      <c r="A33" s="129"/>
      <c r="B33" s="139"/>
      <c r="C33" s="79"/>
      <c r="D33" s="85"/>
      <c r="E33" s="86"/>
      <c r="F33" s="87"/>
      <c r="G33" s="85"/>
      <c r="H33" s="86"/>
      <c r="I33" s="87"/>
      <c r="J33" s="138"/>
      <c r="K33" s="137"/>
      <c r="L33" s="134"/>
      <c r="M33" s="136"/>
      <c r="N33" s="135"/>
      <c r="O33" s="135"/>
      <c r="P33" s="134"/>
      <c r="Q33" s="225"/>
      <c r="R33" s="225"/>
      <c r="S33" s="132"/>
      <c r="T33" s="131"/>
      <c r="U33" s="130"/>
      <c r="V33" s="26"/>
      <c r="W33" s="26"/>
      <c r="X33" s="26"/>
      <c r="Y33" s="26"/>
      <c r="Z33" s="27"/>
      <c r="AA33" s="41"/>
      <c r="AB33" s="114"/>
    </row>
    <row r="34" spans="1:28" s="28" customFormat="1" ht="20.100000000000001" customHeight="1">
      <c r="A34" s="129"/>
      <c r="B34" s="139"/>
      <c r="C34" s="79"/>
      <c r="D34" s="85"/>
      <c r="E34" s="86"/>
      <c r="F34" s="87"/>
      <c r="G34" s="85"/>
      <c r="H34" s="86"/>
      <c r="I34" s="87"/>
      <c r="J34" s="138"/>
      <c r="K34" s="137"/>
      <c r="L34" s="134"/>
      <c r="M34" s="136"/>
      <c r="N34" s="135"/>
      <c r="O34" s="135"/>
      <c r="P34" s="134"/>
      <c r="Q34" s="225"/>
      <c r="R34" s="225"/>
      <c r="S34" s="132"/>
      <c r="T34" s="131"/>
      <c r="U34" s="130"/>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225"/>
      <c r="R35" s="225"/>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225"/>
      <c r="R36" s="225"/>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225"/>
      <c r="R37" s="225"/>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225"/>
      <c r="R38" s="225"/>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225"/>
      <c r="R39" s="225"/>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225"/>
      <c r="R40" s="225"/>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225"/>
      <c r="R41" s="225"/>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225"/>
      <c r="R42" s="225"/>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225"/>
      <c r="R43" s="225"/>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225"/>
      <c r="R44" s="225"/>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225"/>
      <c r="R45" s="225"/>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225"/>
      <c r="R46" s="225"/>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225"/>
      <c r="R47" s="225"/>
      <c r="S47" s="132"/>
      <c r="T47" s="131"/>
      <c r="U47" s="130"/>
      <c r="V47" s="26"/>
      <c r="W47" s="26"/>
      <c r="X47" s="26"/>
      <c r="Y47" s="26"/>
      <c r="Z47" s="27"/>
      <c r="AA47" s="41"/>
      <c r="AB47" s="114"/>
    </row>
    <row r="48" spans="1:28" s="28" customFormat="1" ht="20.100000000000001" customHeight="1">
      <c r="A48" s="129"/>
      <c r="B48" s="139"/>
      <c r="C48" s="79"/>
      <c r="D48" s="85"/>
      <c r="E48" s="86"/>
      <c r="F48" s="87"/>
      <c r="G48" s="85"/>
      <c r="H48" s="86"/>
      <c r="I48" s="87"/>
      <c r="J48" s="138"/>
      <c r="K48" s="137"/>
      <c r="L48" s="134"/>
      <c r="M48" s="136"/>
      <c r="N48" s="135"/>
      <c r="O48" s="135"/>
      <c r="P48" s="134"/>
      <c r="Q48" s="225"/>
      <c r="R48" s="225"/>
      <c r="S48" s="132"/>
      <c r="T48" s="131"/>
      <c r="U48" s="130"/>
      <c r="V48" s="26"/>
      <c r="W48" s="26"/>
      <c r="X48" s="26"/>
      <c r="Y48" s="26"/>
      <c r="Z48" s="27"/>
      <c r="AA48" s="41"/>
      <c r="AB48" s="114"/>
    </row>
    <row r="49" spans="1:28" s="9" customFormat="1" ht="20.100000000000001" customHeight="1">
      <c r="A49" s="14"/>
      <c r="B49" s="128"/>
      <c r="C49" s="127"/>
      <c r="D49" s="126"/>
      <c r="E49" s="125"/>
      <c r="F49" s="124"/>
      <c r="G49" s="126"/>
      <c r="H49" s="125"/>
      <c r="I49" s="124"/>
      <c r="J49" s="123"/>
      <c r="K49" s="122"/>
      <c r="L49" s="119"/>
      <c r="M49" s="121"/>
      <c r="N49" s="120"/>
      <c r="O49" s="120"/>
      <c r="P49" s="119"/>
      <c r="Q49" s="246"/>
      <c r="R49" s="246"/>
      <c r="S49" s="117"/>
      <c r="T49" s="116"/>
      <c r="U49" s="115"/>
      <c r="V49" s="26"/>
      <c r="W49" s="26"/>
      <c r="X49" s="26"/>
      <c r="Y49" s="26"/>
      <c r="Z49" s="27"/>
      <c r="AA49" s="41"/>
      <c r="AB49" s="42"/>
    </row>
    <row r="50" spans="1:28" ht="20.100000000000001" customHeight="1">
      <c r="B50" s="247"/>
      <c r="C50" s="248"/>
      <c r="D50" s="2670" t="s">
        <v>18</v>
      </c>
      <c r="E50" s="2671"/>
      <c r="F50" s="2671"/>
      <c r="G50" s="2671"/>
      <c r="H50" s="2671"/>
      <c r="I50" s="2672"/>
      <c r="J50" s="2673">
        <v>14951</v>
      </c>
      <c r="K50" s="2674"/>
      <c r="L50" s="112" t="e">
        <f>VLOOKUP(A52,#REF!,4,FALSE)</f>
        <v>#REF!</v>
      </c>
      <c r="M50" s="2675" t="s">
        <v>19</v>
      </c>
      <c r="N50" s="2676"/>
      <c r="O50" s="2676"/>
      <c r="P50" s="2676"/>
      <c r="Q50" s="2677"/>
      <c r="R50" s="249">
        <f>SUM(R14:R49)</f>
        <v>649.28419999999994</v>
      </c>
      <c r="S50" s="250" t="e">
        <f>L50</f>
        <v>#REF!</v>
      </c>
      <c r="U50" s="98"/>
    </row>
    <row r="51" spans="1:28" ht="20.100000000000001" customHeight="1">
      <c r="B51" s="251"/>
      <c r="C51" s="252"/>
      <c r="D51" s="2678" t="s">
        <v>20</v>
      </c>
      <c r="E51" s="2679"/>
      <c r="F51" s="2679"/>
      <c r="G51" s="2679"/>
      <c r="H51" s="2679"/>
      <c r="I51" s="2680"/>
      <c r="J51" s="2681">
        <f>R50/J50</f>
        <v>4.3427476422981739E-2</v>
      </c>
      <c r="K51" s="2682"/>
      <c r="L51" s="2685"/>
      <c r="M51" s="2687" t="s">
        <v>21</v>
      </c>
      <c r="N51" s="2688"/>
      <c r="O51" s="2688"/>
      <c r="P51" s="2688"/>
      <c r="Q51" s="2689"/>
      <c r="R51" s="108">
        <v>649.28399999999999</v>
      </c>
      <c r="S51" s="253" t="e">
        <f>L50</f>
        <v>#REF!</v>
      </c>
      <c r="U51" s="98"/>
    </row>
    <row r="52" spans="1:28" ht="20.100000000000001" customHeight="1">
      <c r="A52" s="12" t="s">
        <v>82</v>
      </c>
      <c r="B52" s="254"/>
      <c r="C52" s="255"/>
      <c r="D52" s="2670"/>
      <c r="E52" s="2671"/>
      <c r="F52" s="2671"/>
      <c r="G52" s="2671"/>
      <c r="H52" s="2671"/>
      <c r="I52" s="2672"/>
      <c r="J52" s="2683"/>
      <c r="K52" s="2684"/>
      <c r="L52" s="2686"/>
      <c r="M52" s="2687" t="s">
        <v>22</v>
      </c>
      <c r="N52" s="2688"/>
      <c r="O52" s="2688"/>
      <c r="P52" s="2688"/>
      <c r="Q52" s="2689"/>
      <c r="R52" s="256">
        <f>R50-R51</f>
        <v>1.9999999994979589E-4</v>
      </c>
      <c r="S52" s="257" t="e">
        <f>L50</f>
        <v>#REF!</v>
      </c>
      <c r="T52" s="10"/>
      <c r="U52" s="11"/>
    </row>
  </sheetData>
  <mergeCells count="33">
    <mergeCell ref="D51:I52"/>
    <mergeCell ref="J51:K52"/>
    <mergeCell ref="L51:L52"/>
    <mergeCell ref="M51:Q51"/>
    <mergeCell ref="M52:Q52"/>
    <mergeCell ref="D50:I50"/>
    <mergeCell ref="J50:K50"/>
    <mergeCell ref="M50:Q50"/>
    <mergeCell ref="N12:N13"/>
    <mergeCell ref="O12:O13"/>
    <mergeCell ref="P12:P13"/>
    <mergeCell ref="Q12:Q13"/>
    <mergeCell ref="T9:U9"/>
    <mergeCell ref="T10:U10"/>
    <mergeCell ref="C11:L11"/>
    <mergeCell ref="B12:B13"/>
    <mergeCell ref="C12:C13"/>
    <mergeCell ref="D12:I12"/>
    <mergeCell ref="J12:J13"/>
    <mergeCell ref="K12:K13"/>
    <mergeCell ref="L12:L13"/>
    <mergeCell ref="M12:M13"/>
    <mergeCell ref="T12:T13"/>
    <mergeCell ref="U12:U13"/>
    <mergeCell ref="D13:F13"/>
    <mergeCell ref="G13:I13"/>
    <mergeCell ref="R12:R13"/>
    <mergeCell ref="S12:S13"/>
    <mergeCell ref="T8:U8"/>
    <mergeCell ref="K6:U6"/>
    <mergeCell ref="B1:U5"/>
    <mergeCell ref="V5:AA5"/>
    <mergeCell ref="B6:I6"/>
  </mergeCells>
  <conditionalFormatting sqref="J51:K52">
    <cfRule type="cellIs" dxfId="49" priority="1" operator="greaterThanOrEqual">
      <formula>1</formula>
    </cfRule>
    <cfRule type="cellIs" dxfId="48" priority="2" operator="greaterThan">
      <formula>100%</formula>
    </cfRule>
  </conditionalFormatting>
  <printOptions horizontalCentered="1"/>
  <pageMargins left="0.39370078740157483" right="0.39370078740157483" top="0.78740157480314965" bottom="0.78740157480314965" header="0" footer="0.19685039370078741"/>
  <pageSetup paperSize="9" scale="41" orientation="landscape" r:id="rId1"/>
  <headerFooter>
    <oddFooter>&amp;L__________________________________________
Valdemar Júnior Moreira
Engº Residente - &amp;"-,Itálico"Consórcio EPV&amp;R__________________________________________
Paulo Maurício Ferrari
Engº Fiscal - &amp;"-,Itálico"SR-U</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J54"/>
  <sheetViews>
    <sheetView view="pageBreakPreview" zoomScale="80" zoomScaleNormal="100" zoomScaleSheetLayoutView="80" workbookViewId="0">
      <selection activeCell="M22" sqref="M22"/>
    </sheetView>
  </sheetViews>
  <sheetFormatPr defaultRowHeight="12.75"/>
  <cols>
    <col min="1" max="1" width="9.140625" style="12"/>
    <col min="2" max="2" width="14.2851562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5" width="13.5703125" style="8" customWidth="1"/>
    <col min="16" max="16" width="14.5703125" style="8" customWidth="1"/>
    <col min="17" max="18" width="13.5703125" style="8" customWidth="1"/>
    <col min="19" max="19" width="9" style="8" customWidth="1"/>
    <col min="20" max="20" width="12.5703125" style="8" customWidth="1"/>
    <col min="21" max="21" width="38.140625" style="8" bestFit="1" customWidth="1"/>
    <col min="22" max="27" width="9.140625" style="8"/>
    <col min="28" max="28" width="12.7109375" style="15" customWidth="1"/>
    <col min="29" max="16384" width="9.140625" style="8"/>
  </cols>
  <sheetData>
    <row r="1" spans="1:36" ht="18.75" customHeight="1">
      <c r="B1" s="2652" t="s">
        <v>212</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690" t="s">
        <v>9</v>
      </c>
      <c r="C6" s="2657"/>
      <c r="D6" s="2657"/>
      <c r="E6" s="2657"/>
      <c r="F6" s="2657"/>
      <c r="G6" s="2657"/>
      <c r="H6" s="2657"/>
      <c r="I6" s="2691"/>
      <c r="J6" s="2649" t="s">
        <v>10</v>
      </c>
      <c r="K6" s="2650"/>
      <c r="L6" s="2650"/>
      <c r="M6" s="2650"/>
      <c r="N6" s="2650"/>
      <c r="O6" s="2651"/>
      <c r="P6" s="2690" t="s">
        <v>194</v>
      </c>
      <c r="Q6" s="2657"/>
      <c r="R6" s="2657"/>
      <c r="S6" s="2657"/>
      <c r="T6" s="2657"/>
      <c r="U6" s="2691"/>
      <c r="V6" s="99"/>
      <c r="W6" s="99"/>
      <c r="X6" s="99"/>
      <c r="Y6" s="99"/>
      <c r="Z6" s="99"/>
      <c r="AA6" s="99"/>
      <c r="AB6" s="17"/>
    </row>
    <row r="7" spans="1:36" s="20" customFormat="1" ht="15.75">
      <c r="A7" s="19"/>
      <c r="B7" s="152" t="s">
        <v>96</v>
      </c>
      <c r="C7" s="149" t="s">
        <v>274</v>
      </c>
      <c r="D7" s="145"/>
      <c r="E7" s="92"/>
      <c r="F7" s="92"/>
      <c r="G7" s="145"/>
      <c r="H7" s="92"/>
      <c r="I7" s="92"/>
      <c r="J7" s="151" t="s">
        <v>114</v>
      </c>
      <c r="K7" s="145"/>
      <c r="L7" s="94"/>
      <c r="M7" s="93"/>
      <c r="N7" s="93"/>
      <c r="O7" s="150"/>
      <c r="P7" s="93"/>
      <c r="Q7" s="93"/>
      <c r="R7" s="93"/>
      <c r="S7" s="94"/>
      <c r="T7" s="94"/>
      <c r="U7" s="95"/>
      <c r="AB7" s="21"/>
    </row>
    <row r="8" spans="1:36" s="20" customFormat="1" ht="15.75">
      <c r="A8" s="19"/>
      <c r="B8" s="148" t="s">
        <v>79</v>
      </c>
      <c r="C8" s="149" t="s">
        <v>275</v>
      </c>
      <c r="D8" s="145"/>
      <c r="E8" s="92"/>
      <c r="F8" s="92"/>
      <c r="G8" s="145"/>
      <c r="H8" s="92"/>
      <c r="I8" s="92"/>
      <c r="J8" s="146" t="s">
        <v>276</v>
      </c>
      <c r="K8" s="145"/>
      <c r="L8" s="145"/>
      <c r="M8" s="145"/>
      <c r="N8" s="96"/>
      <c r="O8" s="205"/>
      <c r="P8" s="96"/>
      <c r="Q8" s="96"/>
      <c r="R8" s="96"/>
      <c r="S8" s="145"/>
      <c r="T8" s="2647" t="s">
        <v>195</v>
      </c>
      <c r="U8" s="2648"/>
      <c r="AB8" s="21"/>
    </row>
    <row r="9" spans="1:36" s="20" customFormat="1" ht="15.75">
      <c r="A9" s="19"/>
      <c r="B9" s="148" t="s">
        <v>11</v>
      </c>
      <c r="C9" s="147" t="e">
        <v>#NAME?</v>
      </c>
      <c r="D9" s="145"/>
      <c r="E9" s="92"/>
      <c r="F9" s="92"/>
      <c r="G9" s="145"/>
      <c r="H9" s="92"/>
      <c r="I9" s="92"/>
      <c r="J9" s="146" t="s">
        <v>277</v>
      </c>
      <c r="K9" s="145"/>
      <c r="L9" s="92"/>
      <c r="M9" s="92"/>
      <c r="N9" s="92"/>
      <c r="O9" s="144"/>
      <c r="P9" s="92"/>
      <c r="Q9" s="92"/>
      <c r="R9" s="92"/>
      <c r="S9" s="92"/>
      <c r="T9" s="2658" t="s">
        <v>196</v>
      </c>
      <c r="U9" s="2659"/>
      <c r="AA9" s="22"/>
      <c r="AB9" s="22"/>
      <c r="AC9" s="22"/>
      <c r="AD9" s="22"/>
      <c r="AE9" s="22"/>
      <c r="AF9" s="22"/>
      <c r="AG9" s="22"/>
      <c r="AH9" s="22"/>
      <c r="AI9" s="22"/>
      <c r="AJ9" s="22"/>
    </row>
    <row r="10" spans="1:36" s="20" customFormat="1" ht="15.75">
      <c r="A10" s="19"/>
      <c r="B10" s="148" t="s">
        <v>12</v>
      </c>
      <c r="C10" s="147" t="e">
        <v>#NAME?</v>
      </c>
      <c r="D10" s="145"/>
      <c r="E10" s="92"/>
      <c r="F10" s="92"/>
      <c r="G10" s="145"/>
      <c r="H10" s="92"/>
      <c r="I10" s="92"/>
      <c r="J10" s="146" t="s">
        <v>278</v>
      </c>
      <c r="K10" s="145"/>
      <c r="L10" s="92"/>
      <c r="M10" s="92"/>
      <c r="N10" s="92"/>
      <c r="O10" s="144"/>
      <c r="P10" s="92"/>
      <c r="Q10" s="92"/>
      <c r="R10" s="92"/>
      <c r="S10" s="92"/>
      <c r="T10" s="2660" t="s">
        <v>197</v>
      </c>
      <c r="U10" s="2661"/>
      <c r="AA10" s="22"/>
      <c r="AB10" s="22"/>
      <c r="AC10" s="22"/>
      <c r="AD10" s="22"/>
      <c r="AE10" s="22"/>
      <c r="AF10" s="22"/>
      <c r="AG10" s="22"/>
      <c r="AH10" s="22"/>
      <c r="AI10" s="22"/>
      <c r="AJ10" s="22"/>
    </row>
    <row r="11" spans="1:36" s="29" customFormat="1" ht="21" customHeight="1">
      <c r="A11" s="23"/>
      <c r="B11" s="143" t="str">
        <f>LEFT(A54,1)</f>
        <v>3</v>
      </c>
      <c r="C11" s="2692" t="s">
        <v>279</v>
      </c>
      <c r="D11" s="2693"/>
      <c r="E11" s="2693"/>
      <c r="F11" s="2693"/>
      <c r="G11" s="2693"/>
      <c r="H11" s="2693"/>
      <c r="I11" s="2693"/>
      <c r="J11" s="2693"/>
      <c r="K11" s="2693"/>
      <c r="L11" s="2693"/>
      <c r="M11" s="242"/>
      <c r="N11" s="242"/>
      <c r="O11" s="242"/>
      <c r="P11" s="242"/>
      <c r="Q11" s="242"/>
      <c r="R11" s="242"/>
      <c r="S11" s="242"/>
      <c r="T11" s="242"/>
      <c r="U11" s="243"/>
      <c r="V11" s="26"/>
      <c r="W11" s="26"/>
      <c r="X11" s="26"/>
      <c r="Y11" s="26"/>
      <c r="Z11" s="27"/>
      <c r="AA11" s="28"/>
      <c r="AB11" s="28"/>
      <c r="AC11" s="28"/>
      <c r="AD11" s="28"/>
      <c r="AE11" s="28"/>
      <c r="AF11" s="28"/>
      <c r="AG11" s="28"/>
      <c r="AH11" s="28"/>
      <c r="AI11" s="28"/>
      <c r="AJ11" s="28"/>
    </row>
    <row r="12" spans="1:36" s="29" customFormat="1" ht="25.5" customHeight="1">
      <c r="A12" s="23"/>
      <c r="B12" s="2664">
        <v>40969</v>
      </c>
      <c r="C12" s="2665" t="s">
        <v>280</v>
      </c>
      <c r="D12" s="2666" t="s">
        <v>97</v>
      </c>
      <c r="E12" s="2666"/>
      <c r="F12" s="2666"/>
      <c r="G12" s="2666"/>
      <c r="H12" s="2666"/>
      <c r="I12" s="2666"/>
      <c r="J12" s="2668" t="s">
        <v>98</v>
      </c>
      <c r="K12" s="2668" t="s">
        <v>232</v>
      </c>
      <c r="L12" s="2668" t="s">
        <v>103</v>
      </c>
      <c r="M12" s="2668" t="s">
        <v>228</v>
      </c>
      <c r="N12" s="2668" t="s">
        <v>229</v>
      </c>
      <c r="O12" s="2668" t="s">
        <v>107</v>
      </c>
      <c r="P12" s="192" t="s">
        <v>153</v>
      </c>
      <c r="Q12" s="2668" t="s">
        <v>16</v>
      </c>
      <c r="R12" s="2668" t="s">
        <v>2</v>
      </c>
      <c r="S12" s="2668" t="s">
        <v>99</v>
      </c>
      <c r="T12" s="2668" t="s">
        <v>17</v>
      </c>
      <c r="U12" s="2667"/>
      <c r="V12" s="26"/>
      <c r="W12" s="26"/>
      <c r="X12" s="26"/>
      <c r="Y12" s="26"/>
      <c r="Z12" s="27"/>
      <c r="AA12" s="28"/>
      <c r="AB12" s="28"/>
      <c r="AC12" s="28"/>
      <c r="AD12" s="28"/>
      <c r="AE12" s="28"/>
      <c r="AF12" s="28"/>
      <c r="AG12" s="28"/>
      <c r="AH12" s="28"/>
      <c r="AI12" s="28"/>
      <c r="AJ12" s="28"/>
    </row>
    <row r="13" spans="1:36" s="29" customFormat="1" ht="19.5" customHeight="1">
      <c r="A13" s="23"/>
      <c r="B13" s="2664"/>
      <c r="C13" s="2665"/>
      <c r="D13" s="2669" t="s">
        <v>14</v>
      </c>
      <c r="E13" s="2669"/>
      <c r="F13" s="2669"/>
      <c r="G13" s="2667" t="s">
        <v>15</v>
      </c>
      <c r="H13" s="2667"/>
      <c r="I13" s="2667"/>
      <c r="J13" s="2417"/>
      <c r="K13" s="2417"/>
      <c r="L13" s="2417"/>
      <c r="M13" s="2417"/>
      <c r="N13" s="2417"/>
      <c r="O13" s="2417"/>
      <c r="P13" s="89" t="s">
        <v>104</v>
      </c>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39"/>
      <c r="C14" s="79"/>
      <c r="D14" s="85"/>
      <c r="E14" s="86"/>
      <c r="F14" s="87"/>
      <c r="G14" s="85"/>
      <c r="H14" s="86"/>
      <c r="I14" s="87"/>
      <c r="J14" s="138"/>
      <c r="K14" s="215"/>
      <c r="L14" s="134"/>
      <c r="M14" s="136"/>
      <c r="N14" s="135"/>
      <c r="O14" s="135"/>
      <c r="P14" s="134"/>
      <c r="Q14" s="133"/>
      <c r="R14" s="133"/>
      <c r="S14" s="132"/>
      <c r="T14" s="140"/>
      <c r="U14" s="212"/>
      <c r="V14" s="26"/>
      <c r="W14" s="26"/>
      <c r="X14" s="26"/>
      <c r="Y14" s="26"/>
      <c r="Z14" s="27"/>
    </row>
    <row r="15" spans="1:36" s="28" customFormat="1" ht="20.100000000000001" customHeight="1">
      <c r="A15" s="129"/>
      <c r="B15" s="139"/>
      <c r="C15" s="79"/>
      <c r="D15" s="85"/>
      <c r="E15" s="86"/>
      <c r="F15" s="87"/>
      <c r="G15" s="85"/>
      <c r="H15" s="86"/>
      <c r="I15" s="87"/>
      <c r="J15" s="138"/>
      <c r="K15" s="215"/>
      <c r="L15" s="134"/>
      <c r="M15" s="136"/>
      <c r="N15" s="135"/>
      <c r="O15" s="135"/>
      <c r="P15" s="134"/>
      <c r="Q15" s="133"/>
      <c r="R15" s="133"/>
      <c r="S15" s="132"/>
      <c r="T15" s="140"/>
      <c r="U15" s="212"/>
      <c r="V15" s="26"/>
      <c r="W15" s="26"/>
      <c r="X15" s="26"/>
      <c r="Y15" s="26"/>
      <c r="Z15" s="27"/>
      <c r="AA15" s="41"/>
      <c r="AB15" s="114"/>
    </row>
    <row r="16" spans="1:36" s="28" customFormat="1" ht="20.100000000000001" customHeight="1">
      <c r="A16" s="129"/>
      <c r="B16" s="139"/>
      <c r="C16" s="79"/>
      <c r="D16" s="85"/>
      <c r="E16" s="86"/>
      <c r="F16" s="87"/>
      <c r="G16" s="85"/>
      <c r="H16" s="86"/>
      <c r="I16" s="87"/>
      <c r="J16" s="138"/>
      <c r="K16" s="193"/>
      <c r="L16" s="134"/>
      <c r="M16" s="136"/>
      <c r="N16" s="135"/>
      <c r="O16" s="135"/>
      <c r="P16" s="134"/>
      <c r="Q16" s="133"/>
      <c r="R16" s="133"/>
      <c r="S16" s="132"/>
      <c r="T16" s="131"/>
      <c r="U16" s="130"/>
      <c r="V16" s="26"/>
      <c r="W16" s="26"/>
      <c r="X16" s="26"/>
      <c r="Y16" s="26"/>
      <c r="Z16" s="27"/>
      <c r="AA16" s="41"/>
      <c r="AB16" s="114"/>
    </row>
    <row r="17" spans="1:28" s="28" customFormat="1" ht="20.100000000000001" customHeight="1">
      <c r="A17" s="129"/>
      <c r="B17" s="139"/>
      <c r="C17" s="79"/>
      <c r="D17" s="85"/>
      <c r="E17" s="86"/>
      <c r="F17" s="87"/>
      <c r="G17" s="85"/>
      <c r="H17" s="86"/>
      <c r="I17" s="87"/>
      <c r="J17" s="138"/>
      <c r="K17" s="193"/>
      <c r="L17" s="134"/>
      <c r="M17" s="136"/>
      <c r="N17" s="135"/>
      <c r="O17" s="135"/>
      <c r="P17" s="134"/>
      <c r="Q17" s="133"/>
      <c r="R17" s="133"/>
      <c r="S17" s="132"/>
      <c r="T17" s="131"/>
      <c r="U17" s="130"/>
      <c r="V17" s="26"/>
      <c r="W17" s="26"/>
      <c r="X17" s="26"/>
      <c r="Y17" s="26"/>
      <c r="Z17" s="27"/>
      <c r="AA17" s="41"/>
      <c r="AB17" s="114"/>
    </row>
    <row r="18" spans="1:28" s="28" customFormat="1" ht="20.100000000000001" customHeight="1">
      <c r="A18" s="129"/>
      <c r="B18" s="139"/>
      <c r="C18" s="79"/>
      <c r="D18" s="85"/>
      <c r="E18" s="86"/>
      <c r="F18" s="87"/>
      <c r="G18" s="85"/>
      <c r="H18" s="86"/>
      <c r="I18" s="87"/>
      <c r="J18" s="138"/>
      <c r="K18" s="137"/>
      <c r="L18" s="134"/>
      <c r="M18" s="136"/>
      <c r="N18" s="135"/>
      <c r="O18" s="135"/>
      <c r="P18" s="134"/>
      <c r="Q18" s="133"/>
      <c r="R18" s="133"/>
      <c r="S18" s="132"/>
      <c r="T18" s="131"/>
      <c r="U18" s="130"/>
      <c r="V18" s="26"/>
      <c r="W18" s="26"/>
      <c r="X18" s="26"/>
      <c r="Y18" s="26"/>
      <c r="Z18" s="27"/>
      <c r="AA18" s="41"/>
      <c r="AB18" s="114"/>
    </row>
    <row r="19" spans="1:28" s="28" customFormat="1" ht="20.100000000000001" customHeight="1">
      <c r="A19" s="129"/>
      <c r="B19" s="139"/>
      <c r="C19" s="79"/>
      <c r="D19" s="85"/>
      <c r="E19" s="86"/>
      <c r="F19" s="87"/>
      <c r="G19" s="85"/>
      <c r="H19" s="86"/>
      <c r="I19" s="87"/>
      <c r="J19" s="138"/>
      <c r="K19" s="137"/>
      <c r="L19" s="134"/>
      <c r="M19" s="136"/>
      <c r="N19" s="135"/>
      <c r="O19" s="135"/>
      <c r="P19" s="134"/>
      <c r="Q19" s="133"/>
      <c r="R19" s="133"/>
      <c r="S19" s="132"/>
      <c r="T19" s="131"/>
      <c r="U19" s="130"/>
      <c r="V19" s="26"/>
      <c r="W19" s="26"/>
      <c r="X19" s="26"/>
      <c r="Y19" s="26"/>
      <c r="Z19" s="27"/>
      <c r="AA19" s="41"/>
      <c r="AB19" s="114"/>
    </row>
    <row r="20" spans="1:28" s="28" customFormat="1" ht="20.100000000000001" customHeight="1">
      <c r="A20" s="129"/>
      <c r="B20" s="139"/>
      <c r="C20" s="79"/>
      <c r="D20" s="85"/>
      <c r="E20" s="86"/>
      <c r="F20" s="87"/>
      <c r="G20" s="85"/>
      <c r="H20" s="86"/>
      <c r="I20" s="87"/>
      <c r="J20" s="138"/>
      <c r="K20" s="137"/>
      <c r="L20" s="134"/>
      <c r="M20" s="136"/>
      <c r="N20" s="135"/>
      <c r="O20" s="135"/>
      <c r="P20" s="134"/>
      <c r="Q20" s="133"/>
      <c r="R20" s="133"/>
      <c r="S20" s="132"/>
      <c r="T20" s="131"/>
      <c r="U20" s="130"/>
      <c r="V20" s="26"/>
      <c r="W20" s="26"/>
      <c r="X20" s="26"/>
      <c r="Y20" s="26"/>
      <c r="Z20" s="27"/>
      <c r="AA20" s="41"/>
      <c r="AB20" s="114"/>
    </row>
    <row r="21" spans="1:28" s="28" customFormat="1" ht="20.100000000000001" customHeight="1">
      <c r="A21" s="129"/>
      <c r="B21" s="139"/>
      <c r="C21" s="79"/>
      <c r="D21" s="85"/>
      <c r="E21" s="86"/>
      <c r="F21" s="87"/>
      <c r="G21" s="85"/>
      <c r="H21" s="86"/>
      <c r="I21" s="87"/>
      <c r="J21" s="138"/>
      <c r="K21" s="137"/>
      <c r="L21" s="134"/>
      <c r="M21" s="136"/>
      <c r="N21" s="135"/>
      <c r="O21" s="135"/>
      <c r="P21" s="134"/>
      <c r="Q21" s="133"/>
      <c r="R21" s="133"/>
      <c r="S21" s="132"/>
      <c r="T21" s="131"/>
      <c r="U21" s="130"/>
      <c r="V21" s="26"/>
      <c r="W21" s="26"/>
      <c r="X21" s="26"/>
      <c r="Y21" s="26"/>
      <c r="Z21" s="27"/>
      <c r="AA21" s="41"/>
      <c r="AB21" s="114"/>
    </row>
    <row r="22" spans="1:28" s="28" customFormat="1" ht="20.100000000000001" customHeight="1">
      <c r="A22" s="129"/>
      <c r="B22" s="139"/>
      <c r="C22" s="79"/>
      <c r="D22" s="85"/>
      <c r="E22" s="86"/>
      <c r="F22" s="87"/>
      <c r="G22" s="85"/>
      <c r="H22" s="86"/>
      <c r="I22" s="87"/>
      <c r="J22" s="138"/>
      <c r="K22" s="137"/>
      <c r="L22" s="134"/>
      <c r="M22" s="136"/>
      <c r="N22" s="135"/>
      <c r="O22" s="135"/>
      <c r="P22" s="134"/>
      <c r="Q22" s="133"/>
      <c r="R22" s="133"/>
      <c r="S22" s="132"/>
      <c r="T22" s="131"/>
      <c r="U22" s="130"/>
      <c r="V22" s="26"/>
      <c r="W22" s="26"/>
      <c r="X22" s="26"/>
      <c r="Y22" s="26"/>
      <c r="Z22" s="27"/>
      <c r="AA22" s="41"/>
      <c r="AB22" s="114"/>
    </row>
    <row r="23" spans="1:28" s="28" customFormat="1" ht="20.100000000000001" customHeight="1">
      <c r="A23" s="129"/>
      <c r="B23" s="139"/>
      <c r="C23" s="79"/>
      <c r="D23" s="85"/>
      <c r="E23" s="86"/>
      <c r="F23" s="87"/>
      <c r="G23" s="85"/>
      <c r="H23" s="86"/>
      <c r="I23" s="87"/>
      <c r="J23" s="138"/>
      <c r="K23" s="137"/>
      <c r="L23" s="134"/>
      <c r="M23" s="136"/>
      <c r="N23" s="135"/>
      <c r="O23" s="135"/>
      <c r="P23" s="134"/>
      <c r="Q23" s="133"/>
      <c r="R23" s="133"/>
      <c r="S23" s="132"/>
      <c r="T23" s="131"/>
      <c r="U23" s="130"/>
      <c r="V23" s="26"/>
      <c r="W23" s="26"/>
      <c r="X23" s="26"/>
      <c r="Y23" s="26"/>
      <c r="Z23" s="27"/>
      <c r="AA23" s="41"/>
      <c r="AB23" s="114"/>
    </row>
    <row r="24" spans="1:28" s="28" customFormat="1" ht="20.100000000000001" customHeight="1">
      <c r="A24" s="129"/>
      <c r="B24" s="139"/>
      <c r="C24" s="79"/>
      <c r="D24" s="85"/>
      <c r="E24" s="86"/>
      <c r="F24" s="87"/>
      <c r="G24" s="85"/>
      <c r="H24" s="86"/>
      <c r="I24" s="87"/>
      <c r="J24" s="138"/>
      <c r="K24" s="137"/>
      <c r="L24" s="134"/>
      <c r="M24" s="136"/>
      <c r="N24" s="135"/>
      <c r="O24" s="135"/>
      <c r="P24" s="134"/>
      <c r="Q24" s="133"/>
      <c r="R24" s="133"/>
      <c r="S24" s="132"/>
      <c r="T24" s="131"/>
      <c r="U24" s="130"/>
      <c r="V24" s="26"/>
      <c r="W24" s="26"/>
      <c r="X24" s="26"/>
      <c r="Y24" s="26"/>
      <c r="Z24" s="27"/>
      <c r="AA24" s="41"/>
      <c r="AB24" s="114"/>
    </row>
    <row r="25" spans="1:28" s="28" customFormat="1" ht="20.100000000000001" customHeight="1">
      <c r="A25" s="129"/>
      <c r="B25" s="139"/>
      <c r="C25" s="79"/>
      <c r="D25" s="85"/>
      <c r="E25" s="86"/>
      <c r="F25" s="87"/>
      <c r="G25" s="85"/>
      <c r="H25" s="86"/>
      <c r="I25" s="87"/>
      <c r="J25" s="138"/>
      <c r="K25" s="137"/>
      <c r="L25" s="134"/>
      <c r="M25" s="136"/>
      <c r="N25" s="135"/>
      <c r="O25" s="135"/>
      <c r="P25" s="134"/>
      <c r="Q25" s="133"/>
      <c r="R25" s="133"/>
      <c r="S25" s="154"/>
      <c r="T25" s="153"/>
      <c r="U25" s="130"/>
      <c r="V25" s="26"/>
      <c r="W25" s="26"/>
      <c r="X25" s="26"/>
      <c r="Y25" s="26"/>
      <c r="Z25" s="27"/>
      <c r="AA25" s="41"/>
      <c r="AB25" s="114"/>
    </row>
    <row r="26" spans="1:28" s="28" customFormat="1" ht="20.100000000000001" customHeight="1">
      <c r="A26" s="129"/>
      <c r="B26" s="139"/>
      <c r="C26" s="79"/>
      <c r="D26" s="85"/>
      <c r="E26" s="86"/>
      <c r="F26" s="87"/>
      <c r="G26" s="85"/>
      <c r="H26" s="86"/>
      <c r="I26" s="87"/>
      <c r="J26" s="138"/>
      <c r="K26" s="137"/>
      <c r="L26" s="134"/>
      <c r="M26" s="136"/>
      <c r="N26" s="135"/>
      <c r="O26" s="135"/>
      <c r="P26" s="134"/>
      <c r="Q26" s="133"/>
      <c r="R26" s="133"/>
      <c r="S26" s="132"/>
      <c r="T26" s="131"/>
      <c r="U26" s="130"/>
      <c r="V26" s="26"/>
      <c r="W26" s="26"/>
      <c r="X26" s="26"/>
      <c r="Y26" s="26"/>
      <c r="Z26" s="27"/>
      <c r="AA26" s="41"/>
      <c r="AB26" s="114"/>
    </row>
    <row r="27" spans="1:28" s="28" customFormat="1" ht="20.100000000000001" customHeight="1">
      <c r="A27" s="129"/>
      <c r="B27" s="139"/>
      <c r="C27" s="79"/>
      <c r="D27" s="85"/>
      <c r="E27" s="86"/>
      <c r="F27" s="87"/>
      <c r="G27" s="85"/>
      <c r="H27" s="86"/>
      <c r="I27" s="87"/>
      <c r="J27" s="138"/>
      <c r="K27" s="137"/>
      <c r="L27" s="134"/>
      <c r="M27" s="136"/>
      <c r="N27" s="135"/>
      <c r="O27" s="135"/>
      <c r="P27" s="134"/>
      <c r="Q27" s="133"/>
      <c r="R27" s="133"/>
      <c r="S27" s="132"/>
      <c r="T27" s="131"/>
      <c r="U27" s="130"/>
      <c r="V27" s="26"/>
      <c r="W27" s="26"/>
      <c r="X27" s="26"/>
      <c r="Y27" s="26"/>
      <c r="Z27" s="27"/>
      <c r="AA27" s="41"/>
      <c r="AB27" s="114"/>
    </row>
    <row r="28" spans="1:28" s="28" customFormat="1" ht="20.100000000000001" customHeight="1">
      <c r="A28" s="129"/>
      <c r="B28" s="139"/>
      <c r="C28" s="79"/>
      <c r="D28" s="85"/>
      <c r="E28" s="86"/>
      <c r="F28" s="87"/>
      <c r="G28" s="85"/>
      <c r="H28" s="86"/>
      <c r="I28" s="87"/>
      <c r="J28" s="138"/>
      <c r="K28" s="137"/>
      <c r="L28" s="134"/>
      <c r="M28" s="136"/>
      <c r="N28" s="135"/>
      <c r="O28" s="135"/>
      <c r="P28" s="134"/>
      <c r="Q28" s="133"/>
      <c r="R28" s="133"/>
      <c r="S28" s="132"/>
      <c r="T28" s="131"/>
      <c r="U28" s="130"/>
      <c r="V28" s="26"/>
      <c r="W28" s="26"/>
      <c r="X28" s="26"/>
      <c r="Y28" s="26"/>
      <c r="Z28" s="27"/>
      <c r="AA28" s="41"/>
      <c r="AB28" s="114"/>
    </row>
    <row r="29" spans="1:28" s="28" customFormat="1" ht="20.100000000000001" customHeight="1">
      <c r="A29" s="129"/>
      <c r="B29" s="139"/>
      <c r="C29" s="79"/>
      <c r="D29" s="85"/>
      <c r="E29" s="86"/>
      <c r="F29" s="87"/>
      <c r="G29" s="85"/>
      <c r="H29" s="86"/>
      <c r="I29" s="87"/>
      <c r="J29" s="138"/>
      <c r="K29" s="137"/>
      <c r="L29" s="134"/>
      <c r="M29" s="136"/>
      <c r="N29" s="135"/>
      <c r="O29" s="135"/>
      <c r="P29" s="134"/>
      <c r="Q29" s="133"/>
      <c r="R29" s="133"/>
      <c r="S29" s="132"/>
      <c r="T29" s="131"/>
      <c r="U29" s="130"/>
      <c r="V29" s="26"/>
      <c r="W29" s="26"/>
      <c r="X29" s="26"/>
      <c r="Y29" s="26"/>
      <c r="Z29" s="27"/>
      <c r="AA29" s="41"/>
      <c r="AB29" s="114"/>
    </row>
    <row r="30" spans="1:28" s="28" customFormat="1" ht="20.100000000000001" customHeight="1">
      <c r="A30" s="129"/>
      <c r="B30" s="139"/>
      <c r="C30" s="79"/>
      <c r="D30" s="85"/>
      <c r="E30" s="86"/>
      <c r="F30" s="87"/>
      <c r="G30" s="85"/>
      <c r="H30" s="86"/>
      <c r="I30" s="87"/>
      <c r="J30" s="138"/>
      <c r="K30" s="137"/>
      <c r="L30" s="134"/>
      <c r="M30" s="136"/>
      <c r="N30" s="135"/>
      <c r="O30" s="135"/>
      <c r="P30" s="134"/>
      <c r="Q30" s="133"/>
      <c r="R30" s="133"/>
      <c r="S30" s="132"/>
      <c r="T30" s="131"/>
      <c r="U30" s="130"/>
      <c r="V30" s="26"/>
      <c r="W30" s="26"/>
      <c r="X30" s="26"/>
      <c r="Y30" s="26"/>
      <c r="Z30" s="27"/>
      <c r="AA30" s="41"/>
      <c r="AB30" s="114"/>
    </row>
    <row r="31" spans="1:28" s="28" customFormat="1" ht="20.100000000000001" customHeight="1">
      <c r="A31" s="129"/>
      <c r="B31" s="139"/>
      <c r="C31" s="79"/>
      <c r="D31" s="85"/>
      <c r="E31" s="86"/>
      <c r="F31" s="87"/>
      <c r="G31" s="85"/>
      <c r="H31" s="86"/>
      <c r="I31" s="87"/>
      <c r="J31" s="138"/>
      <c r="K31" s="137"/>
      <c r="L31" s="134"/>
      <c r="M31" s="136"/>
      <c r="N31" s="135"/>
      <c r="O31" s="135"/>
      <c r="P31" s="134"/>
      <c r="Q31" s="133"/>
      <c r="R31" s="133"/>
      <c r="S31" s="132"/>
      <c r="T31" s="131"/>
      <c r="U31" s="130"/>
      <c r="V31" s="26"/>
      <c r="W31" s="26"/>
      <c r="X31" s="26"/>
      <c r="Y31" s="26"/>
      <c r="Z31" s="27"/>
      <c r="AA31" s="41"/>
      <c r="AB31" s="114"/>
    </row>
    <row r="32" spans="1:28" s="28" customFormat="1" ht="20.100000000000001" customHeight="1">
      <c r="A32" s="129"/>
      <c r="B32" s="139"/>
      <c r="C32" s="79"/>
      <c r="D32" s="85"/>
      <c r="E32" s="86"/>
      <c r="F32" s="87"/>
      <c r="G32" s="85"/>
      <c r="H32" s="86"/>
      <c r="I32" s="87"/>
      <c r="J32" s="138"/>
      <c r="K32" s="137"/>
      <c r="L32" s="134"/>
      <c r="M32" s="136"/>
      <c r="N32" s="135"/>
      <c r="O32" s="135"/>
      <c r="P32" s="134"/>
      <c r="Q32" s="133"/>
      <c r="R32" s="133"/>
      <c r="S32" s="132"/>
      <c r="T32" s="131"/>
      <c r="U32" s="130"/>
      <c r="V32" s="26"/>
      <c r="W32" s="26"/>
      <c r="X32" s="26"/>
      <c r="Y32" s="26"/>
      <c r="Z32" s="27"/>
      <c r="AA32" s="41"/>
      <c r="AB32" s="114"/>
    </row>
    <row r="33" spans="1:28" s="28" customFormat="1" ht="20.100000000000001" customHeight="1">
      <c r="A33" s="129"/>
      <c r="B33" s="139"/>
      <c r="C33" s="79"/>
      <c r="D33" s="85"/>
      <c r="E33" s="86"/>
      <c r="F33" s="87"/>
      <c r="G33" s="85"/>
      <c r="H33" s="86"/>
      <c r="I33" s="87"/>
      <c r="J33" s="138"/>
      <c r="K33" s="137"/>
      <c r="L33" s="134"/>
      <c r="M33" s="136"/>
      <c r="N33" s="135"/>
      <c r="O33" s="135"/>
      <c r="P33" s="134"/>
      <c r="Q33" s="133"/>
      <c r="R33" s="133"/>
      <c r="S33" s="132"/>
      <c r="T33" s="131"/>
      <c r="U33" s="130"/>
      <c r="V33" s="26"/>
      <c r="W33" s="26"/>
      <c r="X33" s="26"/>
      <c r="Y33" s="26"/>
      <c r="Z33" s="27"/>
      <c r="AA33" s="41"/>
      <c r="AB33" s="114"/>
    </row>
    <row r="34" spans="1:28" s="28" customFormat="1" ht="20.100000000000001" customHeight="1">
      <c r="A34" s="129"/>
      <c r="B34" s="139"/>
      <c r="C34" s="79"/>
      <c r="D34" s="85"/>
      <c r="E34" s="86"/>
      <c r="F34" s="87"/>
      <c r="G34" s="85"/>
      <c r="H34" s="86"/>
      <c r="I34" s="87"/>
      <c r="J34" s="138"/>
      <c r="K34" s="137"/>
      <c r="L34" s="134"/>
      <c r="M34" s="136"/>
      <c r="N34" s="135"/>
      <c r="O34" s="135"/>
      <c r="P34" s="134"/>
      <c r="Q34" s="133"/>
      <c r="R34" s="133"/>
      <c r="S34" s="132"/>
      <c r="T34" s="131"/>
      <c r="U34" s="130"/>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133"/>
      <c r="R35" s="133"/>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133"/>
      <c r="R36" s="133"/>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133"/>
      <c r="R37" s="133"/>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28" customFormat="1" ht="20.100000000000001" customHeight="1">
      <c r="A48" s="129"/>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114"/>
    </row>
    <row r="49" spans="1:28" s="9" customFormat="1" ht="20.100000000000001" customHeight="1">
      <c r="A49" s="14"/>
      <c r="B49" s="139"/>
      <c r="C49" s="79"/>
      <c r="D49" s="85"/>
      <c r="E49" s="86"/>
      <c r="F49" s="87"/>
      <c r="G49" s="85"/>
      <c r="H49" s="86"/>
      <c r="I49" s="87"/>
      <c r="J49" s="138"/>
      <c r="K49" s="137"/>
      <c r="L49" s="134"/>
      <c r="M49" s="136"/>
      <c r="N49" s="135"/>
      <c r="O49" s="135"/>
      <c r="P49" s="134"/>
      <c r="Q49" s="133"/>
      <c r="R49" s="133"/>
      <c r="S49" s="132"/>
      <c r="T49" s="131"/>
      <c r="U49" s="130"/>
      <c r="V49" s="26"/>
      <c r="W49" s="26"/>
      <c r="X49" s="26"/>
      <c r="Y49" s="26"/>
      <c r="Z49" s="27"/>
      <c r="AA49" s="41"/>
      <c r="AB49" s="42"/>
    </row>
    <row r="50" spans="1:28" s="28" customFormat="1" ht="20.100000000000001" customHeight="1">
      <c r="A50" s="129"/>
      <c r="B50" s="139"/>
      <c r="C50" s="79"/>
      <c r="D50" s="85"/>
      <c r="E50" s="86"/>
      <c r="F50" s="87"/>
      <c r="G50" s="85"/>
      <c r="H50" s="86"/>
      <c r="I50" s="87"/>
      <c r="J50" s="138"/>
      <c r="K50" s="137"/>
      <c r="L50" s="134"/>
      <c r="M50" s="136"/>
      <c r="N50" s="135"/>
      <c r="O50" s="135"/>
      <c r="P50" s="134"/>
      <c r="Q50" s="133"/>
      <c r="R50" s="133"/>
      <c r="S50" s="132"/>
      <c r="T50" s="131"/>
      <c r="U50" s="130"/>
      <c r="V50" s="26"/>
      <c r="W50" s="26"/>
      <c r="X50" s="26"/>
      <c r="Y50" s="26"/>
      <c r="Z50" s="27"/>
      <c r="AA50" s="41"/>
      <c r="AB50" s="114"/>
    </row>
    <row r="51" spans="1:28" s="28" customFormat="1" ht="20.100000000000001" customHeight="1">
      <c r="A51" s="129"/>
      <c r="B51" s="128"/>
      <c r="C51" s="127"/>
      <c r="D51" s="126"/>
      <c r="E51" s="125"/>
      <c r="F51" s="124"/>
      <c r="G51" s="126"/>
      <c r="H51" s="125"/>
      <c r="I51" s="124"/>
      <c r="J51" s="123"/>
      <c r="K51" s="122"/>
      <c r="L51" s="119"/>
      <c r="M51" s="121"/>
      <c r="N51" s="120"/>
      <c r="O51" s="120"/>
      <c r="P51" s="119"/>
      <c r="Q51" s="118"/>
      <c r="R51" s="118"/>
      <c r="S51" s="117"/>
      <c r="T51" s="116"/>
      <c r="U51" s="115"/>
      <c r="V51" s="26"/>
      <c r="W51" s="26"/>
      <c r="X51" s="26"/>
      <c r="Y51" s="26"/>
      <c r="Z51" s="27"/>
      <c r="AA51" s="41"/>
      <c r="AB51" s="114"/>
    </row>
    <row r="52" spans="1:28" ht="20.100000000000001" customHeight="1">
      <c r="B52" s="109"/>
      <c r="C52" s="113"/>
      <c r="D52" s="2670" t="s">
        <v>18</v>
      </c>
      <c r="E52" s="2671"/>
      <c r="F52" s="2671"/>
      <c r="G52" s="2671"/>
      <c r="H52" s="2671"/>
      <c r="I52" s="2672"/>
      <c r="J52" s="2694">
        <v>7</v>
      </c>
      <c r="K52" s="2695"/>
      <c r="L52" s="112" t="s">
        <v>6</v>
      </c>
      <c r="M52" s="2696" t="s">
        <v>19</v>
      </c>
      <c r="N52" s="2697"/>
      <c r="O52" s="2697"/>
      <c r="P52" s="2697"/>
      <c r="Q52" s="2698"/>
      <c r="R52" s="111">
        <f>SUM(R15:R51)</f>
        <v>0</v>
      </c>
      <c r="S52" s="110" t="str">
        <f>L52</f>
        <v>t</v>
      </c>
      <c r="T52" s="106"/>
      <c r="U52" s="105"/>
    </row>
    <row r="53" spans="1:28" ht="20.100000000000001" customHeight="1">
      <c r="B53" s="109"/>
      <c r="C53" s="72"/>
      <c r="D53" s="2678" t="s">
        <v>20</v>
      </c>
      <c r="E53" s="2679"/>
      <c r="F53" s="2679"/>
      <c r="G53" s="2679"/>
      <c r="H53" s="2679"/>
      <c r="I53" s="2680"/>
      <c r="J53" s="2699">
        <f>R52/J52</f>
        <v>0</v>
      </c>
      <c r="K53" s="2700"/>
      <c r="L53" s="2703"/>
      <c r="M53" s="2705" t="s">
        <v>21</v>
      </c>
      <c r="N53" s="2706"/>
      <c r="O53" s="2706"/>
      <c r="P53" s="2706"/>
      <c r="Q53" s="2707"/>
      <c r="R53" s="108">
        <v>0</v>
      </c>
      <c r="S53" s="107" t="str">
        <f>L52</f>
        <v>t</v>
      </c>
      <c r="T53" s="106"/>
      <c r="U53" s="105"/>
    </row>
    <row r="54" spans="1:28" ht="20.100000000000001" customHeight="1">
      <c r="A54" s="12" t="s">
        <v>84</v>
      </c>
      <c r="B54" s="213"/>
      <c r="C54" s="73"/>
      <c r="D54" s="2670"/>
      <c r="E54" s="2671"/>
      <c r="F54" s="2671"/>
      <c r="G54" s="2671"/>
      <c r="H54" s="2671"/>
      <c r="I54" s="2672"/>
      <c r="J54" s="2701"/>
      <c r="K54" s="2702"/>
      <c r="L54" s="2704"/>
      <c r="M54" s="2705" t="s">
        <v>22</v>
      </c>
      <c r="N54" s="2706"/>
      <c r="O54" s="2706"/>
      <c r="P54" s="2706"/>
      <c r="Q54" s="2707"/>
      <c r="R54" s="103">
        <f>R52-R53</f>
        <v>0</v>
      </c>
      <c r="S54" s="102" t="str">
        <f>L52</f>
        <v>t</v>
      </c>
      <c r="T54" s="101"/>
      <c r="U54" s="100"/>
    </row>
  </sheetData>
  <mergeCells count="33">
    <mergeCell ref="D53:I54"/>
    <mergeCell ref="J53:K54"/>
    <mergeCell ref="L53:L54"/>
    <mergeCell ref="M53:Q53"/>
    <mergeCell ref="M54:Q54"/>
    <mergeCell ref="D52:I52"/>
    <mergeCell ref="J52:K52"/>
    <mergeCell ref="M52:Q52"/>
    <mergeCell ref="N12:N13"/>
    <mergeCell ref="O12:O13"/>
    <mergeCell ref="Q12:Q13"/>
    <mergeCell ref="T9:U9"/>
    <mergeCell ref="T10:U10"/>
    <mergeCell ref="C11:L11"/>
    <mergeCell ref="B12:B13"/>
    <mergeCell ref="C12:C13"/>
    <mergeCell ref="D12:I12"/>
    <mergeCell ref="J12:J13"/>
    <mergeCell ref="K12:K13"/>
    <mergeCell ref="L12:L13"/>
    <mergeCell ref="M12:M13"/>
    <mergeCell ref="U12:U13"/>
    <mergeCell ref="D13:F13"/>
    <mergeCell ref="G13:I13"/>
    <mergeCell ref="R12:R13"/>
    <mergeCell ref="S12:S13"/>
    <mergeCell ref="T12:T13"/>
    <mergeCell ref="T8:U8"/>
    <mergeCell ref="B1:U5"/>
    <mergeCell ref="V5:AA5"/>
    <mergeCell ref="B6:I6"/>
    <mergeCell ref="J6:O6"/>
    <mergeCell ref="P6:U6"/>
  </mergeCells>
  <conditionalFormatting sqref="J53:K54">
    <cfRule type="cellIs" dxfId="47" priority="1" operator="greaterThanOrEqual">
      <formula>1</formula>
    </cfRule>
    <cfRule type="cellIs" dxfId="46" priority="2" operator="greaterThan">
      <formula>100%</formula>
    </cfRule>
  </conditionalFormatting>
  <printOptions horizontalCentered="1"/>
  <pageMargins left="0.39370078740157483" right="0.39370078740157483" top="0.78740157480314965" bottom="0.78740157480314965" header="0" footer="0.19685039370078741"/>
  <pageSetup paperSize="9" scale="47" fitToHeight="0" orientation="landscape" r:id="rId1"/>
  <headerFooter>
    <oddFooter>&amp;L__________________________________________
Valdemar Júnior Moreira
Engº Residente - &amp;"-,Itálico"Consórcio EPV&amp;CPágina &amp;P de &amp;N&amp;R__________________________________________
Paulo Maurício Ferrari
Engº Fiscal - &amp;"-,Itálico"SR-U</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336600"/>
    <pageSetUpPr fitToPage="1"/>
  </sheetPr>
  <dimension ref="A1:AJ51"/>
  <sheetViews>
    <sheetView showGridLines="0" view="pageBreakPreview" topLeftCell="A10" zoomScale="60" zoomScaleNormal="100" workbookViewId="0">
      <selection activeCell="J50" sqref="J50:K51"/>
    </sheetView>
  </sheetViews>
  <sheetFormatPr defaultRowHeight="12.75"/>
  <cols>
    <col min="1" max="1" width="9.140625" style="12"/>
    <col min="2" max="2" width="12.5703125" style="74" bestFit="1" customWidth="1"/>
    <col min="3" max="3" width="61.710937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8" width="13.7109375" style="8" customWidth="1"/>
    <col min="19" max="19" width="9" style="8" customWidth="1"/>
    <col min="20" max="20" width="13.7109375" style="8" customWidth="1"/>
    <col min="21" max="21" width="38.140625" style="8" bestFit="1" customWidth="1"/>
    <col min="22" max="27" width="9.140625" style="8"/>
    <col min="28" max="28" width="12.7109375" style="15" customWidth="1"/>
    <col min="29" max="16384" width="9.140625" style="8"/>
  </cols>
  <sheetData>
    <row r="1" spans="1:36" ht="18.75" customHeight="1">
      <c r="B1" s="2652" t="s">
        <v>115</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708" t="s">
        <v>9</v>
      </c>
      <c r="C6" s="2709"/>
      <c r="D6" s="2709"/>
      <c r="E6" s="2709"/>
      <c r="F6" s="2709"/>
      <c r="G6" s="2709"/>
      <c r="H6" s="2709"/>
      <c r="I6" s="2709"/>
      <c r="J6" s="2709"/>
      <c r="K6" s="2710" t="s">
        <v>10</v>
      </c>
      <c r="L6" s="2711"/>
      <c r="M6" s="2711"/>
      <c r="N6" s="2711"/>
      <c r="O6" s="2711"/>
      <c r="P6" s="2711"/>
      <c r="Q6" s="2711"/>
      <c r="R6" s="2711"/>
      <c r="S6" s="2711"/>
      <c r="T6" s="2711"/>
      <c r="U6" s="2712"/>
      <c r="V6" s="99"/>
      <c r="W6" s="99"/>
      <c r="X6" s="99"/>
      <c r="Y6" s="99"/>
      <c r="Z6" s="99"/>
      <c r="AA6" s="99"/>
      <c r="AB6" s="17"/>
    </row>
    <row r="7" spans="1:36" s="20" customFormat="1" ht="15.75">
      <c r="A7" s="19"/>
      <c r="B7" s="152" t="s">
        <v>96</v>
      </c>
      <c r="C7" s="149" t="e">
        <f>#REF!</f>
        <v>#REF!</v>
      </c>
      <c r="D7" s="145"/>
      <c r="E7" s="92"/>
      <c r="F7" s="92"/>
      <c r="G7" s="145"/>
      <c r="H7" s="92"/>
      <c r="I7" s="92"/>
      <c r="J7" s="200"/>
      <c r="K7" s="151" t="s">
        <v>190</v>
      </c>
      <c r="L7" s="94"/>
      <c r="M7" s="93"/>
      <c r="N7" s="93"/>
      <c r="O7" s="150"/>
      <c r="P7" s="93"/>
      <c r="Q7" s="93"/>
      <c r="R7" s="93"/>
      <c r="S7" s="94"/>
      <c r="T7" s="94"/>
      <c r="U7" s="95"/>
      <c r="AB7" s="21"/>
    </row>
    <row r="8" spans="1:36" s="20" customFormat="1" ht="15.75">
      <c r="A8" s="19"/>
      <c r="B8" s="148" t="s">
        <v>79</v>
      </c>
      <c r="C8" s="149" t="e">
        <f>#REF!</f>
        <v>#REF!</v>
      </c>
      <c r="D8" s="145"/>
      <c r="E8" s="92"/>
      <c r="F8" s="92"/>
      <c r="G8" s="145"/>
      <c r="H8" s="92"/>
      <c r="I8" s="92"/>
      <c r="J8" s="144"/>
      <c r="K8" s="146" t="s">
        <v>191</v>
      </c>
      <c r="L8" s="145"/>
      <c r="M8" s="145"/>
      <c r="N8" s="96"/>
      <c r="O8" s="96"/>
      <c r="P8" s="96"/>
      <c r="Q8" s="96"/>
      <c r="R8" s="96"/>
      <c r="S8" s="145"/>
      <c r="T8" s="2647"/>
      <c r="U8" s="2648"/>
      <c r="AB8" s="21"/>
    </row>
    <row r="9" spans="1:36" s="20" customFormat="1" ht="15.75">
      <c r="A9" s="19"/>
      <c r="B9" s="148" t="s">
        <v>11</v>
      </c>
      <c r="C9" s="147" t="e">
        <f>VLOOKUP(B9,[0]!_xlnm.Print_Area,2,FALSE)</f>
        <v>#REF!</v>
      </c>
      <c r="D9" s="145"/>
      <c r="E9" s="92"/>
      <c r="F9" s="92"/>
      <c r="G9" s="145"/>
      <c r="H9" s="92"/>
      <c r="I9" s="92"/>
      <c r="J9" s="144"/>
      <c r="K9" s="146" t="s">
        <v>192</v>
      </c>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147" t="e">
        <f>VLOOKUP(B10,[0]!_xlnm.Print_Area,2,FALSE)</f>
        <v>#REF!</v>
      </c>
      <c r="D10" s="145"/>
      <c r="E10" s="92"/>
      <c r="F10" s="92"/>
      <c r="G10" s="145"/>
      <c r="H10" s="92"/>
      <c r="I10" s="92"/>
      <c r="J10" s="201"/>
      <c r="K10" s="146" t="s">
        <v>193</v>
      </c>
      <c r="L10" s="92"/>
      <c r="M10" s="92"/>
      <c r="N10" s="92"/>
      <c r="O10" s="92"/>
      <c r="P10" s="202"/>
      <c r="Q10" s="92"/>
      <c r="R10" s="92"/>
      <c r="S10" s="92"/>
      <c r="T10" s="2660"/>
      <c r="U10" s="2661"/>
      <c r="AA10" s="22"/>
      <c r="AB10" s="22"/>
      <c r="AC10" s="22"/>
      <c r="AD10" s="22"/>
      <c r="AE10" s="22"/>
      <c r="AF10" s="22"/>
      <c r="AG10" s="22"/>
      <c r="AH10" s="22"/>
      <c r="AI10" s="22"/>
      <c r="AJ10" s="22"/>
    </row>
    <row r="11" spans="1:36" s="29" customFormat="1" ht="21" customHeight="1">
      <c r="A11" s="23"/>
      <c r="B11" s="143" t="str">
        <f>LEFT(A51,1)</f>
        <v>5</v>
      </c>
      <c r="C11" s="2713" t="e">
        <f>VLOOKUP(B11,#REF!,3,FALSE)</f>
        <v>#REF!</v>
      </c>
      <c r="D11" s="2714"/>
      <c r="E11" s="2714"/>
      <c r="F11" s="2714"/>
      <c r="G11" s="2714"/>
      <c r="H11" s="2714"/>
      <c r="I11" s="2714"/>
      <c r="J11" s="2714"/>
      <c r="K11" s="2714"/>
      <c r="L11" s="2714"/>
      <c r="M11" s="24"/>
      <c r="N11" s="24"/>
      <c r="O11" s="24"/>
      <c r="P11" s="24"/>
      <c r="Q11" s="24"/>
      <c r="R11" s="24"/>
      <c r="S11" s="24"/>
      <c r="T11" s="24"/>
      <c r="U11" s="25"/>
      <c r="V11" s="26"/>
      <c r="W11" s="26"/>
      <c r="X11" s="26"/>
      <c r="Y11" s="26"/>
      <c r="Z11" s="27"/>
      <c r="AA11" s="28"/>
      <c r="AB11" s="28"/>
      <c r="AC11" s="28"/>
      <c r="AD11" s="28"/>
      <c r="AE11" s="28"/>
      <c r="AF11" s="28"/>
      <c r="AG11" s="28"/>
      <c r="AH11" s="28"/>
      <c r="AI11" s="28"/>
      <c r="AJ11" s="28"/>
    </row>
    <row r="12" spans="1:36" s="29" customFormat="1" ht="20.100000000000001" customHeight="1">
      <c r="A12" s="23"/>
      <c r="B12" s="2664" t="e">
        <f>VLOOKUP(A51,#REF!,2,FALSE)</f>
        <v>#REF!</v>
      </c>
      <c r="C12" s="2665" t="e">
        <f>VLOOKUP(A51,#REF!,3,FALSE)</f>
        <v>#REF!</v>
      </c>
      <c r="D12" s="2666" t="s">
        <v>97</v>
      </c>
      <c r="E12" s="2666"/>
      <c r="F12" s="2666"/>
      <c r="G12" s="2666"/>
      <c r="H12" s="2666"/>
      <c r="I12" s="2666"/>
      <c r="J12" s="2668" t="s">
        <v>98</v>
      </c>
      <c r="K12" s="2668" t="s">
        <v>102</v>
      </c>
      <c r="L12" s="2668" t="s">
        <v>103</v>
      </c>
      <c r="M12" s="2668" t="s">
        <v>113</v>
      </c>
      <c r="N12" s="2668" t="s">
        <v>112</v>
      </c>
      <c r="O12" s="2668" t="s">
        <v>107</v>
      </c>
      <c r="P12" s="2668" t="s">
        <v>145</v>
      </c>
      <c r="Q12" s="2668" t="s">
        <v>116</v>
      </c>
      <c r="R12" s="2668" t="s">
        <v>2</v>
      </c>
      <c r="S12" s="2668" t="s">
        <v>99</v>
      </c>
      <c r="T12" s="2668" t="s">
        <v>17</v>
      </c>
      <c r="U12" s="2667" t="s">
        <v>110</v>
      </c>
      <c r="V12" s="26"/>
      <c r="W12" s="26"/>
      <c r="X12" s="26"/>
      <c r="Y12" s="26"/>
      <c r="Z12" s="27"/>
      <c r="AA12" s="28"/>
      <c r="AB12" s="28"/>
      <c r="AC12" s="28"/>
      <c r="AD12" s="28"/>
      <c r="AE12" s="28"/>
      <c r="AF12" s="28"/>
      <c r="AG12" s="28"/>
      <c r="AH12" s="28"/>
      <c r="AI12" s="28"/>
      <c r="AJ12" s="28"/>
    </row>
    <row r="13" spans="1:36" s="29" customFormat="1" ht="20.100000000000001" customHeight="1">
      <c r="A13" s="23"/>
      <c r="B13" s="2664"/>
      <c r="C13" s="2665"/>
      <c r="D13" s="2669" t="s">
        <v>14</v>
      </c>
      <c r="E13" s="2669"/>
      <c r="F13" s="2669"/>
      <c r="G13" s="2667" t="s">
        <v>15</v>
      </c>
      <c r="H13" s="2667"/>
      <c r="I13" s="2667"/>
      <c r="J13" s="2417"/>
      <c r="K13" s="2417"/>
      <c r="L13" s="2417"/>
      <c r="M13" s="2417"/>
      <c r="N13" s="2417"/>
      <c r="O13" s="2417"/>
      <c r="P13" s="2417"/>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77"/>
      <c r="C14" s="176" t="s">
        <v>144</v>
      </c>
      <c r="D14" s="175">
        <v>302</v>
      </c>
      <c r="E14" s="174" t="s">
        <v>68</v>
      </c>
      <c r="F14" s="173">
        <v>10</v>
      </c>
      <c r="G14" s="175">
        <v>302</v>
      </c>
      <c r="H14" s="174" t="s">
        <v>68</v>
      </c>
      <c r="I14" s="173">
        <v>10</v>
      </c>
      <c r="J14" s="172"/>
      <c r="K14" s="191">
        <v>4</v>
      </c>
      <c r="L14" s="190">
        <v>1.96</v>
      </c>
      <c r="M14" s="190">
        <v>0.1</v>
      </c>
      <c r="N14" s="182">
        <f>K14*L14</f>
        <v>7.84</v>
      </c>
      <c r="O14" s="189">
        <f>TRUNC((M14*N14),3)</f>
        <v>0.78400000000000003</v>
      </c>
      <c r="P14" s="171"/>
      <c r="Q14" s="179"/>
      <c r="R14" s="179">
        <f>O14</f>
        <v>0.78400000000000003</v>
      </c>
      <c r="S14" s="178" t="s">
        <v>5</v>
      </c>
      <c r="T14" s="170" t="s">
        <v>83</v>
      </c>
      <c r="U14" s="169" t="s">
        <v>100</v>
      </c>
      <c r="V14" s="26"/>
      <c r="W14" s="26"/>
      <c r="X14" s="26"/>
      <c r="Y14" s="26"/>
      <c r="Z14" s="27"/>
    </row>
    <row r="15" spans="1:36" s="28" customFormat="1" ht="20.100000000000001" customHeight="1">
      <c r="A15" s="129"/>
      <c r="B15" s="139"/>
      <c r="C15" s="58" t="s">
        <v>143</v>
      </c>
      <c r="D15" s="82">
        <v>117</v>
      </c>
      <c r="E15" s="44" t="s">
        <v>68</v>
      </c>
      <c r="F15" s="83">
        <v>6</v>
      </c>
      <c r="G15" s="82">
        <v>118</v>
      </c>
      <c r="H15" s="44" t="s">
        <v>68</v>
      </c>
      <c r="I15" s="83">
        <v>11</v>
      </c>
      <c r="J15" s="46" t="s">
        <v>70</v>
      </c>
      <c r="K15" s="47">
        <f>((G15-D15)*20)+(I15-F15)</f>
        <v>25</v>
      </c>
      <c r="L15" s="48">
        <v>0.8</v>
      </c>
      <c r="M15" s="49">
        <v>0.8</v>
      </c>
      <c r="N15" s="188"/>
      <c r="O15" s="51">
        <f>TRUNC(((K15*L15*M15)),3)</f>
        <v>16</v>
      </c>
      <c r="P15" s="168">
        <f>K15*PI()*0.25^2</f>
        <v>4.908738521234052</v>
      </c>
      <c r="Q15" s="53"/>
      <c r="R15" s="53">
        <f>O15-P15</f>
        <v>11.091261478765947</v>
      </c>
      <c r="S15" s="54" t="s">
        <v>5</v>
      </c>
      <c r="T15" s="141" t="s">
        <v>85</v>
      </c>
      <c r="U15" s="39" t="s">
        <v>142</v>
      </c>
      <c r="V15" s="26"/>
      <c r="W15" s="26"/>
      <c r="X15" s="26"/>
      <c r="Y15" s="26"/>
      <c r="Z15" s="27"/>
      <c r="AA15" s="41"/>
      <c r="AB15" s="114"/>
    </row>
    <row r="16" spans="1:36" s="28" customFormat="1" ht="20.100000000000001" customHeight="1">
      <c r="A16" s="129"/>
      <c r="B16" s="139"/>
      <c r="C16" s="58" t="s">
        <v>143</v>
      </c>
      <c r="D16" s="82">
        <v>118</v>
      </c>
      <c r="E16" s="44" t="s">
        <v>68</v>
      </c>
      <c r="F16" s="83">
        <v>12.7</v>
      </c>
      <c r="G16" s="82">
        <v>120</v>
      </c>
      <c r="H16" s="44" t="s">
        <v>68</v>
      </c>
      <c r="I16" s="83">
        <v>14</v>
      </c>
      <c r="J16" s="46" t="s">
        <v>70</v>
      </c>
      <c r="K16" s="47">
        <f>((G16-D16)*20)+(I16-F16)</f>
        <v>41.3</v>
      </c>
      <c r="L16" s="48">
        <v>0.8</v>
      </c>
      <c r="M16" s="49">
        <v>0.8</v>
      </c>
      <c r="N16" s="188"/>
      <c r="O16" s="51">
        <f>TRUNC(((K16*L16*M16)),3)</f>
        <v>26.431999999999999</v>
      </c>
      <c r="P16" s="168">
        <f>K16*PI()*0.25^2</f>
        <v>8.1092360370786523</v>
      </c>
      <c r="Q16" s="53"/>
      <c r="R16" s="53">
        <f>O16-P16</f>
        <v>18.322763962921346</v>
      </c>
      <c r="S16" s="54" t="s">
        <v>5</v>
      </c>
      <c r="T16" s="141" t="s">
        <v>85</v>
      </c>
      <c r="U16" s="39" t="s">
        <v>142</v>
      </c>
      <c r="V16" s="26"/>
      <c r="W16" s="26"/>
      <c r="X16" s="26"/>
      <c r="Y16" s="26"/>
      <c r="Z16" s="27"/>
      <c r="AA16" s="41"/>
      <c r="AB16" s="114"/>
    </row>
    <row r="17" spans="1:28" s="28" customFormat="1" ht="20.100000000000001" customHeight="1">
      <c r="A17" s="129"/>
      <c r="B17" s="139"/>
      <c r="C17" s="58" t="s">
        <v>132</v>
      </c>
      <c r="D17" s="82">
        <v>116</v>
      </c>
      <c r="E17" s="44" t="s">
        <v>68</v>
      </c>
      <c r="F17" s="83">
        <v>0</v>
      </c>
      <c r="G17" s="82">
        <v>116</v>
      </c>
      <c r="H17" s="44" t="s">
        <v>68</v>
      </c>
      <c r="I17" s="83">
        <v>0</v>
      </c>
      <c r="J17" s="46" t="s">
        <v>70</v>
      </c>
      <c r="K17" s="35">
        <v>2</v>
      </c>
      <c r="L17" s="48">
        <v>2</v>
      </c>
      <c r="M17" s="49">
        <v>0.2</v>
      </c>
      <c r="N17" s="50"/>
      <c r="O17" s="51">
        <f>TRUNC(((K17*L17*M17)),3)</f>
        <v>0.8</v>
      </c>
      <c r="P17" s="48"/>
      <c r="Q17" s="53"/>
      <c r="R17" s="53">
        <f>O17</f>
        <v>0.8</v>
      </c>
      <c r="S17" s="54" t="s">
        <v>5</v>
      </c>
      <c r="T17" s="141" t="s">
        <v>86</v>
      </c>
      <c r="U17" s="78" t="s">
        <v>140</v>
      </c>
      <c r="V17" s="91"/>
      <c r="W17" s="187">
        <f>O17-O15</f>
        <v>-15.2</v>
      </c>
      <c r="X17" s="186" t="s">
        <v>141</v>
      </c>
      <c r="Y17" s="26"/>
      <c r="Z17" s="27"/>
      <c r="AA17" s="41"/>
      <c r="AB17" s="114"/>
    </row>
    <row r="18" spans="1:28" s="28" customFormat="1" ht="20.100000000000001" customHeight="1">
      <c r="A18" s="129"/>
      <c r="B18" s="139"/>
      <c r="C18" s="58" t="s">
        <v>131</v>
      </c>
      <c r="D18" s="82">
        <v>114</v>
      </c>
      <c r="E18" s="44" t="s">
        <v>68</v>
      </c>
      <c r="F18" s="83">
        <v>5</v>
      </c>
      <c r="G18" s="82">
        <v>114</v>
      </c>
      <c r="H18" s="44" t="s">
        <v>68</v>
      </c>
      <c r="I18" s="83">
        <v>5</v>
      </c>
      <c r="J18" s="46" t="s">
        <v>70</v>
      </c>
      <c r="K18" s="47">
        <v>2.7</v>
      </c>
      <c r="L18" s="48">
        <v>2.7</v>
      </c>
      <c r="M18" s="49">
        <v>0.2</v>
      </c>
      <c r="N18" s="50"/>
      <c r="O18" s="51">
        <f>TRUNC(((K18*L18*M18)),3)</f>
        <v>1.458</v>
      </c>
      <c r="P18" s="48"/>
      <c r="Q18" s="53"/>
      <c r="R18" s="53">
        <f>O18</f>
        <v>1.458</v>
      </c>
      <c r="S18" s="54" t="s">
        <v>5</v>
      </c>
      <c r="T18" s="141" t="s">
        <v>86</v>
      </c>
      <c r="U18" s="78" t="s">
        <v>140</v>
      </c>
      <c r="V18" s="91"/>
      <c r="W18" s="187">
        <f>O18-O16</f>
        <v>-24.974</v>
      </c>
      <c r="X18" s="186" t="s">
        <v>141</v>
      </c>
      <c r="Y18" s="26"/>
      <c r="Z18" s="27"/>
      <c r="AA18" s="41"/>
      <c r="AB18" s="114"/>
    </row>
    <row r="19" spans="1:28" s="28" customFormat="1" ht="20.100000000000001" customHeight="1">
      <c r="A19" s="129"/>
      <c r="B19" s="139"/>
      <c r="C19" s="58" t="s">
        <v>130</v>
      </c>
      <c r="D19" s="82">
        <v>115</v>
      </c>
      <c r="E19" s="44" t="s">
        <v>68</v>
      </c>
      <c r="F19" s="83">
        <v>10</v>
      </c>
      <c r="G19" s="82">
        <v>115</v>
      </c>
      <c r="H19" s="44" t="s">
        <v>68</v>
      </c>
      <c r="I19" s="83">
        <v>10</v>
      </c>
      <c r="J19" s="46" t="s">
        <v>70</v>
      </c>
      <c r="K19" s="47">
        <v>1.7</v>
      </c>
      <c r="L19" s="48">
        <v>1.7</v>
      </c>
      <c r="M19" s="49">
        <v>0.2</v>
      </c>
      <c r="N19" s="50"/>
      <c r="O19" s="51">
        <f>TRUNC(((K19*L19*M19)),3)</f>
        <v>0.57799999999999996</v>
      </c>
      <c r="P19" s="48"/>
      <c r="Q19" s="53"/>
      <c r="R19" s="53">
        <f>O19</f>
        <v>0.57799999999999996</v>
      </c>
      <c r="S19" s="54" t="s">
        <v>5</v>
      </c>
      <c r="T19" s="141" t="s">
        <v>86</v>
      </c>
      <c r="U19" s="78" t="s">
        <v>140</v>
      </c>
      <c r="V19" s="26"/>
      <c r="W19" s="26"/>
      <c r="X19" s="26"/>
      <c r="Y19" s="26"/>
      <c r="Z19" s="27"/>
      <c r="AA19" s="41"/>
      <c r="AB19" s="114"/>
    </row>
    <row r="20" spans="1:28" s="28" customFormat="1" ht="50.25" customHeight="1">
      <c r="A20" s="129"/>
      <c r="B20" s="139"/>
      <c r="C20" s="58"/>
      <c r="D20" s="82"/>
      <c r="E20" s="44"/>
      <c r="F20" s="83"/>
      <c r="G20" s="82"/>
      <c r="H20" s="44"/>
      <c r="I20" s="83"/>
      <c r="J20" s="46"/>
      <c r="K20" s="47"/>
      <c r="L20" s="48"/>
      <c r="M20" s="49"/>
      <c r="N20" s="50"/>
      <c r="O20" s="50"/>
      <c r="P20" s="185"/>
      <c r="Q20" s="183" t="s">
        <v>139</v>
      </c>
      <c r="R20" s="184"/>
      <c r="S20" s="54"/>
      <c r="T20" s="141"/>
      <c r="U20" s="78"/>
      <c r="V20" s="26"/>
      <c r="W20" s="26"/>
      <c r="X20" s="26"/>
      <c r="Y20" s="26"/>
      <c r="Z20" s="27"/>
      <c r="AA20" s="41"/>
      <c r="AB20" s="114"/>
    </row>
    <row r="21" spans="1:28" s="28" customFormat="1" ht="20.100000000000001" customHeight="1">
      <c r="A21" s="129"/>
      <c r="B21" s="139"/>
      <c r="C21" s="58" t="s">
        <v>129</v>
      </c>
      <c r="D21" s="82">
        <v>114</v>
      </c>
      <c r="E21" s="44" t="s">
        <v>68</v>
      </c>
      <c r="F21" s="83">
        <v>9</v>
      </c>
      <c r="G21" s="82">
        <v>114</v>
      </c>
      <c r="H21" s="44" t="s">
        <v>68</v>
      </c>
      <c r="I21" s="83">
        <v>15</v>
      </c>
      <c r="J21" s="46" t="s">
        <v>70</v>
      </c>
      <c r="K21" s="47">
        <v>6</v>
      </c>
      <c r="L21" s="48"/>
      <c r="M21" s="49"/>
      <c r="N21" s="50"/>
      <c r="O21" s="50"/>
      <c r="P21" s="52"/>
      <c r="Q21" s="53">
        <v>1.01</v>
      </c>
      <c r="R21" s="53">
        <f>K21*Q21</f>
        <v>6.0600000000000005</v>
      </c>
      <c r="S21" s="54" t="s">
        <v>5</v>
      </c>
      <c r="T21" s="141" t="s">
        <v>86</v>
      </c>
      <c r="U21" s="78" t="s">
        <v>138</v>
      </c>
      <c r="V21" s="26"/>
      <c r="W21" s="26"/>
      <c r="X21" s="26"/>
      <c r="Y21" s="26"/>
      <c r="Z21" s="27"/>
      <c r="AA21" s="41"/>
      <c r="AB21" s="114"/>
    </row>
    <row r="22" spans="1:28" s="28" customFormat="1" ht="20.100000000000001" customHeight="1">
      <c r="A22" s="129"/>
      <c r="B22" s="139"/>
      <c r="C22" s="58" t="s">
        <v>129</v>
      </c>
      <c r="D22" s="166">
        <v>302</v>
      </c>
      <c r="E22" s="165" t="s">
        <v>68</v>
      </c>
      <c r="F22" s="164">
        <v>18.600000000000001</v>
      </c>
      <c r="G22" s="166">
        <v>303</v>
      </c>
      <c r="H22" s="165" t="s">
        <v>68</v>
      </c>
      <c r="I22" s="164">
        <v>4</v>
      </c>
      <c r="J22" s="163" t="s">
        <v>70</v>
      </c>
      <c r="K22" s="162">
        <f>((G22-D22)*20)+(I22-F22)</f>
        <v>5.3999999999999986</v>
      </c>
      <c r="L22" s="48"/>
      <c r="M22" s="49"/>
      <c r="N22" s="50"/>
      <c r="O22" s="50"/>
      <c r="P22" s="52"/>
      <c r="Q22" s="53">
        <v>1.01</v>
      </c>
      <c r="R22" s="53">
        <f>K22*Q22</f>
        <v>5.4539999999999988</v>
      </c>
      <c r="S22" s="54" t="s">
        <v>5</v>
      </c>
      <c r="T22" s="141" t="s">
        <v>86</v>
      </c>
      <c r="U22" s="181" t="s">
        <v>138</v>
      </c>
      <c r="V22" s="26"/>
      <c r="W22" s="26"/>
      <c r="X22" s="26"/>
      <c r="Y22" s="26"/>
      <c r="Z22" s="27"/>
      <c r="AA22" s="41"/>
      <c r="AB22" s="114"/>
    </row>
    <row r="23" spans="1:28" s="28" customFormat="1" ht="20.100000000000001" customHeight="1">
      <c r="A23" s="129"/>
      <c r="B23" s="57"/>
      <c r="C23" s="58" t="s">
        <v>128</v>
      </c>
      <c r="D23" s="82"/>
      <c r="E23" s="44"/>
      <c r="F23" s="83"/>
      <c r="G23" s="82"/>
      <c r="H23" s="44"/>
      <c r="I23" s="83"/>
      <c r="J23" s="46"/>
      <c r="K23" s="48">
        <v>12</v>
      </c>
      <c r="L23" s="48">
        <v>1.5</v>
      </c>
      <c r="M23" s="49">
        <v>0.05</v>
      </c>
      <c r="N23" s="50"/>
      <c r="O23" s="50"/>
      <c r="P23" s="48"/>
      <c r="Q23" s="53"/>
      <c r="R23" s="53">
        <f>TRUNC(K23*L23*M23,3)</f>
        <v>0.9</v>
      </c>
      <c r="S23" s="54" t="s">
        <v>5</v>
      </c>
      <c r="T23" s="141" t="s">
        <v>87</v>
      </c>
      <c r="U23" s="56"/>
      <c r="V23" s="26"/>
      <c r="W23" s="26"/>
      <c r="X23" s="26"/>
      <c r="Y23" s="26"/>
      <c r="Z23" s="27"/>
      <c r="AA23" s="41"/>
      <c r="AB23" s="114"/>
    </row>
    <row r="24" spans="1:28" s="28" customFormat="1" ht="15">
      <c r="A24" s="129"/>
      <c r="B24" s="57"/>
      <c r="C24" s="58" t="s">
        <v>137</v>
      </c>
      <c r="D24" s="82"/>
      <c r="E24" s="44"/>
      <c r="F24" s="83"/>
      <c r="G24" s="82"/>
      <c r="H24" s="44"/>
      <c r="I24" s="83"/>
      <c r="J24" s="46"/>
      <c r="K24" s="47">
        <v>4</v>
      </c>
      <c r="L24" s="48">
        <v>2.5</v>
      </c>
      <c r="M24" s="49">
        <v>0.05</v>
      </c>
      <c r="N24" s="50"/>
      <c r="O24" s="50"/>
      <c r="P24" s="48"/>
      <c r="Q24" s="53"/>
      <c r="R24" s="53">
        <f>TRUNC(K24*L24*M24,3)</f>
        <v>0.5</v>
      </c>
      <c r="S24" s="54" t="s">
        <v>5</v>
      </c>
      <c r="T24" s="141" t="s">
        <v>87</v>
      </c>
      <c r="U24" s="56"/>
      <c r="V24" s="26"/>
      <c r="W24" s="26"/>
      <c r="X24" s="26"/>
      <c r="Y24" s="26"/>
      <c r="Z24" s="27"/>
      <c r="AA24" s="41"/>
      <c r="AB24" s="114"/>
    </row>
    <row r="25" spans="1:28" s="28" customFormat="1" ht="30">
      <c r="A25" s="129"/>
      <c r="B25" s="57"/>
      <c r="C25" s="58" t="s">
        <v>136</v>
      </c>
      <c r="D25" s="82">
        <v>117</v>
      </c>
      <c r="E25" s="44" t="s">
        <v>68</v>
      </c>
      <c r="F25" s="83">
        <v>8</v>
      </c>
      <c r="G25" s="82">
        <v>117</v>
      </c>
      <c r="H25" s="44" t="s">
        <v>68</v>
      </c>
      <c r="I25" s="83">
        <v>8</v>
      </c>
      <c r="J25" s="46" t="s">
        <v>70</v>
      </c>
      <c r="K25" s="47">
        <v>11.5</v>
      </c>
      <c r="L25" s="48">
        <v>0.3</v>
      </c>
      <c r="M25" s="49">
        <v>0.3</v>
      </c>
      <c r="N25" s="50"/>
      <c r="O25" s="51">
        <f t="shared" ref="O25:O36" si="0">TRUNC(((K25*L25*M25)),3)</f>
        <v>1.0349999999999999</v>
      </c>
      <c r="P25" s="48"/>
      <c r="Q25" s="53"/>
      <c r="R25" s="53">
        <f t="shared" ref="R25:R48" si="1">O25</f>
        <v>1.0349999999999999</v>
      </c>
      <c r="S25" s="54" t="s">
        <v>5</v>
      </c>
      <c r="T25" s="141" t="s">
        <v>87</v>
      </c>
      <c r="U25" s="130"/>
      <c r="V25" s="26"/>
      <c r="W25" s="26"/>
      <c r="X25" s="26"/>
      <c r="Y25" s="26"/>
      <c r="Z25" s="27"/>
      <c r="AA25" s="41"/>
      <c r="AB25" s="114"/>
    </row>
    <row r="26" spans="1:28" s="28" customFormat="1" ht="20.100000000000001" customHeight="1">
      <c r="A26" s="129"/>
      <c r="B26" s="57"/>
      <c r="C26" s="58" t="s">
        <v>135</v>
      </c>
      <c r="D26" s="82">
        <v>110</v>
      </c>
      <c r="E26" s="44" t="s">
        <v>68</v>
      </c>
      <c r="F26" s="83">
        <v>10</v>
      </c>
      <c r="G26" s="82">
        <v>110</v>
      </c>
      <c r="H26" s="44" t="s">
        <v>68</v>
      </c>
      <c r="I26" s="83">
        <v>10</v>
      </c>
      <c r="J26" s="46" t="s">
        <v>69</v>
      </c>
      <c r="K26" s="47">
        <v>6.3</v>
      </c>
      <c r="L26" s="48">
        <v>0.3</v>
      </c>
      <c r="M26" s="49">
        <v>0.3</v>
      </c>
      <c r="N26" s="50"/>
      <c r="O26" s="51">
        <f t="shared" si="0"/>
        <v>0.56699999999999995</v>
      </c>
      <c r="P26" s="48"/>
      <c r="Q26" s="53"/>
      <c r="R26" s="53">
        <f t="shared" si="1"/>
        <v>0.56699999999999995</v>
      </c>
      <c r="S26" s="54" t="s">
        <v>5</v>
      </c>
      <c r="T26" s="141" t="s">
        <v>88</v>
      </c>
      <c r="U26" s="56"/>
      <c r="V26" s="26"/>
      <c r="W26" s="26"/>
      <c r="X26" s="26"/>
      <c r="Y26" s="26"/>
      <c r="Z26" s="27"/>
      <c r="AA26" s="41"/>
      <c r="AB26" s="114"/>
    </row>
    <row r="27" spans="1:28" s="28" customFormat="1" ht="20.100000000000001" customHeight="1">
      <c r="A27" s="129"/>
      <c r="B27" s="57"/>
      <c r="C27" s="58" t="s">
        <v>135</v>
      </c>
      <c r="D27" s="82">
        <v>107</v>
      </c>
      <c r="E27" s="44" t="s">
        <v>68</v>
      </c>
      <c r="F27" s="83">
        <v>5</v>
      </c>
      <c r="G27" s="82">
        <v>107</v>
      </c>
      <c r="H27" s="44" t="s">
        <v>68</v>
      </c>
      <c r="I27" s="83">
        <v>5</v>
      </c>
      <c r="J27" s="46" t="s">
        <v>69</v>
      </c>
      <c r="K27" s="47">
        <v>11.6</v>
      </c>
      <c r="L27" s="48">
        <v>0.3</v>
      </c>
      <c r="M27" s="49">
        <v>0.3</v>
      </c>
      <c r="N27" s="50"/>
      <c r="O27" s="51">
        <f t="shared" si="0"/>
        <v>1.044</v>
      </c>
      <c r="P27" s="48"/>
      <c r="Q27" s="53"/>
      <c r="R27" s="53">
        <f t="shared" si="1"/>
        <v>1.044</v>
      </c>
      <c r="S27" s="54" t="s">
        <v>5</v>
      </c>
      <c r="T27" s="141" t="s">
        <v>88</v>
      </c>
      <c r="U27" s="56"/>
      <c r="V27" s="26"/>
      <c r="W27" s="26"/>
      <c r="X27" s="26"/>
      <c r="Y27" s="26"/>
      <c r="Z27" s="27"/>
      <c r="AA27" s="41"/>
      <c r="AB27" s="114"/>
    </row>
    <row r="28" spans="1:28" s="28" customFormat="1" ht="20.100000000000001" customHeight="1">
      <c r="A28" s="129"/>
      <c r="B28" s="139"/>
      <c r="C28" s="58" t="s">
        <v>127</v>
      </c>
      <c r="D28" s="166">
        <v>119</v>
      </c>
      <c r="E28" s="44" t="s">
        <v>68</v>
      </c>
      <c r="F28" s="164">
        <v>4</v>
      </c>
      <c r="G28" s="166">
        <v>119</v>
      </c>
      <c r="H28" s="44" t="s">
        <v>68</v>
      </c>
      <c r="I28" s="164">
        <v>4</v>
      </c>
      <c r="J28" s="46" t="s">
        <v>69</v>
      </c>
      <c r="K28" s="47">
        <v>1.7</v>
      </c>
      <c r="L28" s="48">
        <v>1.7</v>
      </c>
      <c r="M28" s="49">
        <v>0.2</v>
      </c>
      <c r="N28" s="50"/>
      <c r="O28" s="51">
        <f t="shared" si="0"/>
        <v>0.57799999999999996</v>
      </c>
      <c r="P28" s="48"/>
      <c r="Q28" s="53"/>
      <c r="R28" s="53">
        <f t="shared" si="1"/>
        <v>0.57799999999999996</v>
      </c>
      <c r="S28" s="54" t="s">
        <v>5</v>
      </c>
      <c r="T28" s="141" t="s">
        <v>88</v>
      </c>
      <c r="U28" s="56"/>
      <c r="V28" s="26"/>
      <c r="W28" s="26"/>
      <c r="X28" s="26"/>
      <c r="Y28" s="26"/>
      <c r="Z28" s="27"/>
      <c r="AA28" s="41"/>
      <c r="AB28" s="114"/>
    </row>
    <row r="29" spans="1:28" s="28" customFormat="1" ht="20.100000000000001" customHeight="1">
      <c r="A29" s="129"/>
      <c r="B29" s="139"/>
      <c r="C29" s="58" t="s">
        <v>126</v>
      </c>
      <c r="D29" s="166">
        <v>120</v>
      </c>
      <c r="E29" s="44" t="s">
        <v>68</v>
      </c>
      <c r="F29" s="164">
        <v>0</v>
      </c>
      <c r="G29" s="166">
        <v>120</v>
      </c>
      <c r="H29" s="44" t="s">
        <v>68</v>
      </c>
      <c r="I29" s="164">
        <v>0</v>
      </c>
      <c r="J29" s="46" t="s">
        <v>69</v>
      </c>
      <c r="K29" s="47">
        <v>1.7</v>
      </c>
      <c r="L29" s="48">
        <v>1.7</v>
      </c>
      <c r="M29" s="49">
        <v>0.2</v>
      </c>
      <c r="N29" s="50"/>
      <c r="O29" s="51">
        <f t="shared" si="0"/>
        <v>0.57799999999999996</v>
      </c>
      <c r="P29" s="48"/>
      <c r="Q29" s="53"/>
      <c r="R29" s="53">
        <f t="shared" si="1"/>
        <v>0.57799999999999996</v>
      </c>
      <c r="S29" s="54" t="s">
        <v>5</v>
      </c>
      <c r="T29" s="141" t="s">
        <v>88</v>
      </c>
      <c r="U29" s="56"/>
      <c r="V29" s="26"/>
      <c r="W29" s="26"/>
      <c r="X29" s="26"/>
      <c r="Y29" s="26"/>
      <c r="Z29" s="27"/>
      <c r="AA29" s="41"/>
      <c r="AB29" s="114"/>
    </row>
    <row r="30" spans="1:28" s="28" customFormat="1" ht="20.100000000000001" customHeight="1">
      <c r="A30" s="129"/>
      <c r="B30" s="139"/>
      <c r="C30" s="58" t="s">
        <v>125</v>
      </c>
      <c r="D30" s="166">
        <v>120</v>
      </c>
      <c r="E30" s="44" t="s">
        <v>68</v>
      </c>
      <c r="F30" s="164">
        <v>12</v>
      </c>
      <c r="G30" s="166">
        <v>120</v>
      </c>
      <c r="H30" s="44" t="s">
        <v>68</v>
      </c>
      <c r="I30" s="164">
        <v>12</v>
      </c>
      <c r="J30" s="46" t="s">
        <v>69</v>
      </c>
      <c r="K30" s="47">
        <v>1.7</v>
      </c>
      <c r="L30" s="48">
        <v>1.7</v>
      </c>
      <c r="M30" s="49">
        <v>0.2</v>
      </c>
      <c r="N30" s="50"/>
      <c r="O30" s="51">
        <f t="shared" si="0"/>
        <v>0.57799999999999996</v>
      </c>
      <c r="P30" s="48"/>
      <c r="Q30" s="53"/>
      <c r="R30" s="53">
        <f t="shared" si="1"/>
        <v>0.57799999999999996</v>
      </c>
      <c r="S30" s="54" t="s">
        <v>5</v>
      </c>
      <c r="T30" s="141" t="s">
        <v>88</v>
      </c>
      <c r="U30" s="56"/>
      <c r="V30" s="26"/>
      <c r="W30" s="26"/>
      <c r="X30" s="26"/>
      <c r="Y30" s="26"/>
      <c r="Z30" s="27"/>
      <c r="AA30" s="41"/>
      <c r="AB30" s="114"/>
    </row>
    <row r="31" spans="1:28" s="28" customFormat="1" ht="20.100000000000001" customHeight="1">
      <c r="A31" s="129"/>
      <c r="B31" s="139"/>
      <c r="C31" s="58" t="s">
        <v>124</v>
      </c>
      <c r="D31" s="31">
        <v>300</v>
      </c>
      <c r="E31" s="32" t="s">
        <v>68</v>
      </c>
      <c r="F31" s="33">
        <v>0</v>
      </c>
      <c r="G31" s="31"/>
      <c r="H31" s="32"/>
      <c r="I31" s="33"/>
      <c r="J31" s="163" t="s">
        <v>70</v>
      </c>
      <c r="K31" s="35">
        <v>1.6</v>
      </c>
      <c r="L31" s="48">
        <v>1.6</v>
      </c>
      <c r="M31" s="49">
        <v>0.1</v>
      </c>
      <c r="N31" s="50"/>
      <c r="O31" s="51">
        <f t="shared" si="0"/>
        <v>0.25600000000000001</v>
      </c>
      <c r="P31" s="48"/>
      <c r="Q31" s="53"/>
      <c r="R31" s="53">
        <f t="shared" si="1"/>
        <v>0.25600000000000001</v>
      </c>
      <c r="S31" s="54" t="s">
        <v>5</v>
      </c>
      <c r="T31" s="141" t="s">
        <v>90</v>
      </c>
      <c r="U31" s="130"/>
      <c r="V31" s="26"/>
      <c r="W31" s="26"/>
      <c r="X31" s="26"/>
      <c r="Y31" s="26"/>
      <c r="Z31" s="27"/>
      <c r="AA31" s="41"/>
      <c r="AB31" s="114"/>
    </row>
    <row r="32" spans="1:28" s="28" customFormat="1" ht="20.100000000000001" customHeight="1">
      <c r="A32" s="129"/>
      <c r="B32" s="139"/>
      <c r="C32" s="58" t="s">
        <v>124</v>
      </c>
      <c r="D32" s="31">
        <v>301</v>
      </c>
      <c r="E32" s="32" t="s">
        <v>68</v>
      </c>
      <c r="F32" s="33">
        <v>6</v>
      </c>
      <c r="G32" s="31"/>
      <c r="H32" s="32"/>
      <c r="I32" s="33"/>
      <c r="J32" s="163" t="s">
        <v>70</v>
      </c>
      <c r="K32" s="35">
        <v>1.6</v>
      </c>
      <c r="L32" s="48">
        <v>1.6</v>
      </c>
      <c r="M32" s="49">
        <v>0.1</v>
      </c>
      <c r="N32" s="50"/>
      <c r="O32" s="51">
        <f t="shared" si="0"/>
        <v>0.25600000000000001</v>
      </c>
      <c r="P32" s="48"/>
      <c r="Q32" s="53"/>
      <c r="R32" s="53">
        <f t="shared" si="1"/>
        <v>0.25600000000000001</v>
      </c>
      <c r="S32" s="54" t="s">
        <v>5</v>
      </c>
      <c r="T32" s="141" t="s">
        <v>90</v>
      </c>
      <c r="U32" s="56"/>
      <c r="V32" s="26"/>
      <c r="W32" s="26"/>
      <c r="X32" s="26"/>
      <c r="Y32" s="26"/>
      <c r="Z32" s="27"/>
      <c r="AA32" s="41"/>
      <c r="AB32" s="114"/>
    </row>
    <row r="33" spans="1:28" s="28" customFormat="1" ht="20.100000000000001" customHeight="1">
      <c r="A33" s="129"/>
      <c r="B33" s="139"/>
      <c r="C33" s="58" t="s">
        <v>124</v>
      </c>
      <c r="D33" s="31">
        <v>302</v>
      </c>
      <c r="E33" s="32" t="s">
        <v>68</v>
      </c>
      <c r="F33" s="33">
        <v>2.5</v>
      </c>
      <c r="G33" s="31"/>
      <c r="H33" s="32"/>
      <c r="I33" s="33"/>
      <c r="J33" s="163" t="s">
        <v>70</v>
      </c>
      <c r="K33" s="35">
        <v>1.6</v>
      </c>
      <c r="L33" s="48">
        <v>1.6</v>
      </c>
      <c r="M33" s="49">
        <v>0.1</v>
      </c>
      <c r="N33" s="50"/>
      <c r="O33" s="51">
        <f t="shared" si="0"/>
        <v>0.25600000000000001</v>
      </c>
      <c r="P33" s="48"/>
      <c r="Q33" s="53"/>
      <c r="R33" s="53">
        <f t="shared" si="1"/>
        <v>0.25600000000000001</v>
      </c>
      <c r="S33" s="54" t="s">
        <v>5</v>
      </c>
      <c r="T33" s="141" t="s">
        <v>90</v>
      </c>
      <c r="U33" s="130"/>
      <c r="V33" s="26"/>
      <c r="W33" s="26"/>
      <c r="X33" s="26"/>
      <c r="Y33" s="26"/>
      <c r="Z33" s="27"/>
      <c r="AA33" s="41"/>
      <c r="AB33" s="114"/>
    </row>
    <row r="34" spans="1:28" s="28" customFormat="1" ht="20.100000000000001" customHeight="1">
      <c r="A34" s="129"/>
      <c r="B34" s="139"/>
      <c r="C34" s="58" t="s">
        <v>124</v>
      </c>
      <c r="D34" s="31">
        <v>303</v>
      </c>
      <c r="E34" s="32" t="s">
        <v>68</v>
      </c>
      <c r="F34" s="33">
        <v>1.5</v>
      </c>
      <c r="G34" s="31"/>
      <c r="H34" s="32"/>
      <c r="I34" s="33"/>
      <c r="J34" s="163" t="s">
        <v>70</v>
      </c>
      <c r="K34" s="35">
        <v>1.6</v>
      </c>
      <c r="L34" s="48">
        <v>1.6</v>
      </c>
      <c r="M34" s="49">
        <v>0.1</v>
      </c>
      <c r="N34" s="50"/>
      <c r="O34" s="51">
        <f t="shared" si="0"/>
        <v>0.25600000000000001</v>
      </c>
      <c r="P34" s="48"/>
      <c r="Q34" s="53"/>
      <c r="R34" s="53">
        <f t="shared" si="1"/>
        <v>0.25600000000000001</v>
      </c>
      <c r="S34" s="54" t="s">
        <v>5</v>
      </c>
      <c r="T34" s="141" t="s">
        <v>90</v>
      </c>
      <c r="U34" s="130"/>
      <c r="V34" s="26"/>
      <c r="W34" s="26"/>
      <c r="X34" s="26"/>
      <c r="Y34" s="26"/>
      <c r="Z34" s="27"/>
      <c r="AA34" s="41"/>
      <c r="AB34" s="114"/>
    </row>
    <row r="35" spans="1:28" s="28" customFormat="1" ht="20.100000000000001" customHeight="1">
      <c r="A35" s="129"/>
      <c r="B35" s="139"/>
      <c r="C35" s="58" t="s">
        <v>124</v>
      </c>
      <c r="D35" s="31">
        <v>304</v>
      </c>
      <c r="E35" s="32" t="s">
        <v>68</v>
      </c>
      <c r="F35" s="33">
        <v>2</v>
      </c>
      <c r="G35" s="31"/>
      <c r="H35" s="32"/>
      <c r="I35" s="33"/>
      <c r="J35" s="163" t="s">
        <v>70</v>
      </c>
      <c r="K35" s="35">
        <v>1.6</v>
      </c>
      <c r="L35" s="48">
        <v>1.6</v>
      </c>
      <c r="M35" s="49">
        <v>0.1</v>
      </c>
      <c r="N35" s="50"/>
      <c r="O35" s="51">
        <f t="shared" si="0"/>
        <v>0.25600000000000001</v>
      </c>
      <c r="P35" s="48"/>
      <c r="Q35" s="53"/>
      <c r="R35" s="53">
        <f t="shared" si="1"/>
        <v>0.25600000000000001</v>
      </c>
      <c r="S35" s="54" t="s">
        <v>5</v>
      </c>
      <c r="T35" s="141" t="s">
        <v>90</v>
      </c>
      <c r="U35" s="130"/>
      <c r="V35" s="26"/>
      <c r="W35" s="26"/>
      <c r="X35" s="26"/>
      <c r="Y35" s="26"/>
      <c r="Z35" s="27"/>
      <c r="AA35" s="41"/>
      <c r="AB35" s="114"/>
    </row>
    <row r="36" spans="1:28" s="28" customFormat="1" ht="20.100000000000001" customHeight="1">
      <c r="A36" s="129"/>
      <c r="B36" s="139"/>
      <c r="C36" s="58" t="s">
        <v>124</v>
      </c>
      <c r="D36" s="31">
        <v>304</v>
      </c>
      <c r="E36" s="32" t="s">
        <v>68</v>
      </c>
      <c r="F36" s="33">
        <v>15</v>
      </c>
      <c r="G36" s="31"/>
      <c r="H36" s="32"/>
      <c r="I36" s="33"/>
      <c r="J36" s="163" t="s">
        <v>70</v>
      </c>
      <c r="K36" s="35">
        <v>1.6</v>
      </c>
      <c r="L36" s="48">
        <v>1.6</v>
      </c>
      <c r="M36" s="49">
        <v>0.1</v>
      </c>
      <c r="N36" s="50"/>
      <c r="O36" s="51">
        <f t="shared" si="0"/>
        <v>0.25600000000000001</v>
      </c>
      <c r="P36" s="48"/>
      <c r="Q36" s="53"/>
      <c r="R36" s="53">
        <f t="shared" si="1"/>
        <v>0.25600000000000001</v>
      </c>
      <c r="S36" s="54" t="s">
        <v>5</v>
      </c>
      <c r="T36" s="141" t="s">
        <v>90</v>
      </c>
      <c r="U36" s="130"/>
      <c r="V36" s="26"/>
      <c r="W36" s="26"/>
      <c r="X36" s="26"/>
      <c r="Y36" s="26"/>
      <c r="Z36" s="27"/>
      <c r="AA36" s="41"/>
      <c r="AB36" s="114"/>
    </row>
    <row r="37" spans="1:28" s="28" customFormat="1" ht="20.100000000000001" customHeight="1">
      <c r="A37" s="129"/>
      <c r="B37" s="139"/>
      <c r="C37" s="58" t="s">
        <v>134</v>
      </c>
      <c r="D37" s="82">
        <v>219</v>
      </c>
      <c r="E37" s="44" t="s">
        <v>68</v>
      </c>
      <c r="F37" s="83">
        <v>4</v>
      </c>
      <c r="G37" s="82">
        <v>227</v>
      </c>
      <c r="H37" s="44" t="s">
        <v>68</v>
      </c>
      <c r="I37" s="83">
        <v>16</v>
      </c>
      <c r="J37" s="46" t="s">
        <v>70</v>
      </c>
      <c r="K37" s="35">
        <v>112</v>
      </c>
      <c r="L37" s="48">
        <f>N37/K37</f>
        <v>3.8566964285714285</v>
      </c>
      <c r="M37" s="49">
        <v>0.02</v>
      </c>
      <c r="N37" s="50">
        <v>431.95</v>
      </c>
      <c r="O37" s="51">
        <f>N37*M37</f>
        <v>8.6389999999999993</v>
      </c>
      <c r="P37" s="48"/>
      <c r="Q37" s="53"/>
      <c r="R37" s="53">
        <f t="shared" si="1"/>
        <v>8.6389999999999993</v>
      </c>
      <c r="S37" s="54" t="s">
        <v>7</v>
      </c>
      <c r="T37" s="141" t="s">
        <v>91</v>
      </c>
      <c r="U37" s="56"/>
      <c r="V37" s="26"/>
      <c r="W37" s="26"/>
      <c r="X37" s="26"/>
      <c r="Y37" s="26"/>
      <c r="Z37" s="27"/>
      <c r="AA37" s="41"/>
      <c r="AB37" s="114"/>
    </row>
    <row r="38" spans="1:28" s="28" customFormat="1" ht="20.100000000000001" customHeight="1">
      <c r="A38" s="129"/>
      <c r="B38" s="139"/>
      <c r="C38" s="58" t="s">
        <v>124</v>
      </c>
      <c r="D38" s="82">
        <v>222</v>
      </c>
      <c r="E38" s="44" t="s">
        <v>68</v>
      </c>
      <c r="F38" s="83">
        <v>0</v>
      </c>
      <c r="G38" s="82"/>
      <c r="H38" s="44"/>
      <c r="I38" s="83"/>
      <c r="J38" s="46" t="s">
        <v>70</v>
      </c>
      <c r="K38" s="47">
        <v>1.6</v>
      </c>
      <c r="L38" s="48">
        <v>1.6</v>
      </c>
      <c r="M38" s="49">
        <v>0.1</v>
      </c>
      <c r="N38" s="50"/>
      <c r="O38" s="51">
        <f t="shared" ref="O38:O48" si="2">TRUNC(((K38*L38*M38)),3)</f>
        <v>0.25600000000000001</v>
      </c>
      <c r="P38" s="52"/>
      <c r="Q38" s="53"/>
      <c r="R38" s="53">
        <f t="shared" si="1"/>
        <v>0.25600000000000001</v>
      </c>
      <c r="S38" s="54" t="s">
        <v>7</v>
      </c>
      <c r="T38" s="141" t="s">
        <v>91</v>
      </c>
      <c r="U38" s="56"/>
      <c r="V38" s="26"/>
      <c r="W38" s="26"/>
      <c r="X38" s="26"/>
      <c r="Y38" s="26"/>
      <c r="Z38" s="27"/>
      <c r="AA38" s="41"/>
      <c r="AB38" s="114"/>
    </row>
    <row r="39" spans="1:28" s="28" customFormat="1" ht="20.100000000000001" customHeight="1">
      <c r="A39" s="129"/>
      <c r="B39" s="139"/>
      <c r="C39" s="58" t="s">
        <v>124</v>
      </c>
      <c r="D39" s="82">
        <v>223</v>
      </c>
      <c r="E39" s="44" t="s">
        <v>68</v>
      </c>
      <c r="F39" s="83">
        <v>10</v>
      </c>
      <c r="G39" s="82"/>
      <c r="H39" s="44"/>
      <c r="I39" s="83"/>
      <c r="J39" s="46" t="s">
        <v>70</v>
      </c>
      <c r="K39" s="47">
        <v>1.6</v>
      </c>
      <c r="L39" s="48">
        <v>1.6</v>
      </c>
      <c r="M39" s="49">
        <v>0.1</v>
      </c>
      <c r="N39" s="50"/>
      <c r="O39" s="51">
        <f t="shared" si="2"/>
        <v>0.25600000000000001</v>
      </c>
      <c r="P39" s="52"/>
      <c r="Q39" s="53"/>
      <c r="R39" s="53">
        <f t="shared" si="1"/>
        <v>0.25600000000000001</v>
      </c>
      <c r="S39" s="54" t="s">
        <v>7</v>
      </c>
      <c r="T39" s="141" t="s">
        <v>91</v>
      </c>
      <c r="U39" s="56"/>
      <c r="V39" s="26"/>
      <c r="W39" s="26"/>
      <c r="X39" s="26"/>
      <c r="Y39" s="26"/>
      <c r="Z39" s="27"/>
      <c r="AA39" s="41"/>
      <c r="AB39" s="114"/>
    </row>
    <row r="40" spans="1:28" s="28" customFormat="1" ht="20.100000000000001" customHeight="1">
      <c r="A40" s="129"/>
      <c r="B40" s="139"/>
      <c r="C40" s="58" t="s">
        <v>124</v>
      </c>
      <c r="D40" s="82">
        <v>226</v>
      </c>
      <c r="E40" s="44" t="s">
        <v>68</v>
      </c>
      <c r="F40" s="83">
        <v>18</v>
      </c>
      <c r="G40" s="82"/>
      <c r="H40" s="44"/>
      <c r="I40" s="83"/>
      <c r="J40" s="46" t="s">
        <v>70</v>
      </c>
      <c r="K40" s="47">
        <v>1.6</v>
      </c>
      <c r="L40" s="48">
        <v>1.6</v>
      </c>
      <c r="M40" s="49">
        <v>0.1</v>
      </c>
      <c r="N40" s="50"/>
      <c r="O40" s="51">
        <f t="shared" si="2"/>
        <v>0.25600000000000001</v>
      </c>
      <c r="P40" s="52"/>
      <c r="Q40" s="53"/>
      <c r="R40" s="53">
        <f t="shared" si="1"/>
        <v>0.25600000000000001</v>
      </c>
      <c r="S40" s="54" t="s">
        <v>7</v>
      </c>
      <c r="T40" s="141" t="s">
        <v>91</v>
      </c>
      <c r="U40" s="56"/>
      <c r="V40" s="26"/>
      <c r="W40" s="26"/>
      <c r="X40" s="26"/>
      <c r="Y40" s="26"/>
      <c r="Z40" s="27"/>
      <c r="AA40" s="41"/>
      <c r="AB40" s="114"/>
    </row>
    <row r="41" spans="1:28" s="28" customFormat="1" ht="20.100000000000001" customHeight="1">
      <c r="A41" s="129"/>
      <c r="B41" s="139"/>
      <c r="C41" s="58" t="s">
        <v>124</v>
      </c>
      <c r="D41" s="82">
        <v>305</v>
      </c>
      <c r="E41" s="44" t="s">
        <v>68</v>
      </c>
      <c r="F41" s="83">
        <v>0</v>
      </c>
      <c r="G41" s="82"/>
      <c r="H41" s="44"/>
      <c r="I41" s="83"/>
      <c r="J41" s="46" t="s">
        <v>69</v>
      </c>
      <c r="K41" s="47">
        <v>1.6</v>
      </c>
      <c r="L41" s="48">
        <v>1.6</v>
      </c>
      <c r="M41" s="49">
        <v>0.1</v>
      </c>
      <c r="N41" s="50"/>
      <c r="O41" s="51">
        <f t="shared" si="2"/>
        <v>0.25600000000000001</v>
      </c>
      <c r="P41" s="52"/>
      <c r="Q41" s="53"/>
      <c r="R41" s="53">
        <f t="shared" si="1"/>
        <v>0.25600000000000001</v>
      </c>
      <c r="S41" s="54" t="s">
        <v>7</v>
      </c>
      <c r="T41" s="141" t="s">
        <v>91</v>
      </c>
      <c r="U41" s="56"/>
      <c r="V41" s="26"/>
      <c r="W41" s="26"/>
      <c r="X41" s="26"/>
      <c r="Y41" s="26"/>
      <c r="Z41" s="27"/>
      <c r="AA41" s="41"/>
      <c r="AB41" s="114"/>
    </row>
    <row r="42" spans="1:28" s="28" customFormat="1" ht="20.100000000000001" customHeight="1">
      <c r="A42" s="129"/>
      <c r="B42" s="139"/>
      <c r="C42" s="58" t="s">
        <v>123</v>
      </c>
      <c r="D42" s="82">
        <v>300</v>
      </c>
      <c r="E42" s="44" t="s">
        <v>68</v>
      </c>
      <c r="F42" s="83">
        <v>0</v>
      </c>
      <c r="G42" s="82"/>
      <c r="H42" s="44"/>
      <c r="I42" s="83"/>
      <c r="J42" s="46" t="s">
        <v>69</v>
      </c>
      <c r="K42" s="47">
        <v>1.6</v>
      </c>
      <c r="L42" s="48">
        <v>1.8</v>
      </c>
      <c r="M42" s="49">
        <v>0.1</v>
      </c>
      <c r="N42" s="50"/>
      <c r="O42" s="51">
        <f t="shared" si="2"/>
        <v>0.28799999999999998</v>
      </c>
      <c r="P42" s="52"/>
      <c r="Q42" s="53"/>
      <c r="R42" s="53">
        <f t="shared" si="1"/>
        <v>0.28799999999999998</v>
      </c>
      <c r="S42" s="54" t="s">
        <v>7</v>
      </c>
      <c r="T42" s="141" t="s">
        <v>91</v>
      </c>
      <c r="U42" s="56"/>
      <c r="V42" s="26"/>
      <c r="W42" s="26"/>
      <c r="X42" s="26"/>
      <c r="Y42" s="26"/>
      <c r="Z42" s="27"/>
      <c r="AA42" s="41"/>
      <c r="AB42" s="114"/>
    </row>
    <row r="43" spans="1:28" s="28" customFormat="1" ht="20.100000000000001" customHeight="1">
      <c r="A43" s="129"/>
      <c r="B43" s="139"/>
      <c r="C43" s="58" t="s">
        <v>122</v>
      </c>
      <c r="D43" s="82">
        <v>303</v>
      </c>
      <c r="E43" s="44" t="s">
        <v>68</v>
      </c>
      <c r="F43" s="83">
        <v>2</v>
      </c>
      <c r="G43" s="82"/>
      <c r="H43" s="44"/>
      <c r="I43" s="83"/>
      <c r="J43" s="46" t="s">
        <v>69</v>
      </c>
      <c r="K43" s="47">
        <v>0.7</v>
      </c>
      <c r="L43" s="48">
        <v>0.7</v>
      </c>
      <c r="M43" s="49">
        <v>0.1</v>
      </c>
      <c r="N43" s="50"/>
      <c r="O43" s="51">
        <f t="shared" si="2"/>
        <v>4.9000000000000002E-2</v>
      </c>
      <c r="P43" s="52"/>
      <c r="Q43" s="53"/>
      <c r="R43" s="53">
        <f t="shared" si="1"/>
        <v>4.9000000000000002E-2</v>
      </c>
      <c r="S43" s="54" t="s">
        <v>7</v>
      </c>
      <c r="T43" s="141" t="s">
        <v>91</v>
      </c>
      <c r="U43" s="56"/>
      <c r="V43" s="26"/>
      <c r="W43" s="26"/>
      <c r="X43" s="26"/>
      <c r="Y43" s="26"/>
      <c r="Z43" s="27"/>
      <c r="AA43" s="41"/>
      <c r="AB43" s="114"/>
    </row>
    <row r="44" spans="1:28" s="28" customFormat="1" ht="20.100000000000001" customHeight="1">
      <c r="A44" s="129"/>
      <c r="B44" s="139"/>
      <c r="C44" s="58" t="s">
        <v>121</v>
      </c>
      <c r="D44" s="82">
        <v>306</v>
      </c>
      <c r="E44" s="44" t="s">
        <v>68</v>
      </c>
      <c r="F44" s="83">
        <v>0</v>
      </c>
      <c r="G44" s="82"/>
      <c r="H44" s="44"/>
      <c r="I44" s="83"/>
      <c r="J44" s="46" t="s">
        <v>69</v>
      </c>
      <c r="K44" s="47">
        <v>0.95</v>
      </c>
      <c r="L44" s="48">
        <v>0.95</v>
      </c>
      <c r="M44" s="49">
        <v>0.1</v>
      </c>
      <c r="N44" s="50"/>
      <c r="O44" s="51">
        <f t="shared" si="2"/>
        <v>0.09</v>
      </c>
      <c r="P44" s="52"/>
      <c r="Q44" s="53"/>
      <c r="R44" s="53">
        <f t="shared" si="1"/>
        <v>0.09</v>
      </c>
      <c r="S44" s="54" t="s">
        <v>7</v>
      </c>
      <c r="T44" s="141" t="s">
        <v>91</v>
      </c>
      <c r="U44" s="56"/>
      <c r="V44" s="26"/>
      <c r="W44" s="26"/>
      <c r="X44" s="26"/>
      <c r="Y44" s="26"/>
      <c r="Z44" s="27"/>
      <c r="AA44" s="41"/>
      <c r="AB44" s="114"/>
    </row>
    <row r="45" spans="1:28" s="28" customFormat="1" ht="20.100000000000001" customHeight="1">
      <c r="A45" s="129"/>
      <c r="B45" s="139"/>
      <c r="C45" s="58" t="s">
        <v>120</v>
      </c>
      <c r="D45" s="82">
        <v>306</v>
      </c>
      <c r="E45" s="44" t="s">
        <v>68</v>
      </c>
      <c r="F45" s="83">
        <v>2</v>
      </c>
      <c r="G45" s="82"/>
      <c r="H45" s="44"/>
      <c r="I45" s="83"/>
      <c r="J45" s="46" t="s">
        <v>69</v>
      </c>
      <c r="K45" s="47">
        <v>1</v>
      </c>
      <c r="L45" s="48">
        <v>1</v>
      </c>
      <c r="M45" s="49">
        <v>0.1</v>
      </c>
      <c r="N45" s="50"/>
      <c r="O45" s="51">
        <f t="shared" si="2"/>
        <v>0.1</v>
      </c>
      <c r="P45" s="52"/>
      <c r="Q45" s="53"/>
      <c r="R45" s="53">
        <f t="shared" si="1"/>
        <v>0.1</v>
      </c>
      <c r="S45" s="54" t="s">
        <v>7</v>
      </c>
      <c r="T45" s="141" t="s">
        <v>91</v>
      </c>
      <c r="U45" s="56"/>
      <c r="V45" s="26"/>
      <c r="W45" s="26"/>
      <c r="X45" s="26"/>
      <c r="Y45" s="26"/>
      <c r="Z45" s="27"/>
      <c r="AA45" s="41"/>
      <c r="AB45" s="114"/>
    </row>
    <row r="46" spans="1:28" s="9" customFormat="1" ht="20.100000000000001" customHeight="1">
      <c r="A46" s="14"/>
      <c r="B46" s="139"/>
      <c r="C46" s="58" t="s">
        <v>119</v>
      </c>
      <c r="D46" s="82">
        <v>306</v>
      </c>
      <c r="E46" s="44" t="s">
        <v>68</v>
      </c>
      <c r="F46" s="83">
        <v>4</v>
      </c>
      <c r="G46" s="82"/>
      <c r="H46" s="44"/>
      <c r="I46" s="83"/>
      <c r="J46" s="46" t="s">
        <v>70</v>
      </c>
      <c r="K46" s="47">
        <v>1.2</v>
      </c>
      <c r="L46" s="48">
        <v>1.05</v>
      </c>
      <c r="M46" s="49">
        <v>0.1</v>
      </c>
      <c r="N46" s="50"/>
      <c r="O46" s="51">
        <f t="shared" si="2"/>
        <v>0.126</v>
      </c>
      <c r="P46" s="52"/>
      <c r="Q46" s="53"/>
      <c r="R46" s="53">
        <f t="shared" si="1"/>
        <v>0.126</v>
      </c>
      <c r="S46" s="54" t="s">
        <v>7</v>
      </c>
      <c r="T46" s="141" t="s">
        <v>91</v>
      </c>
      <c r="U46" s="56"/>
      <c r="V46" s="26"/>
      <c r="W46" s="26"/>
      <c r="X46" s="26"/>
      <c r="Y46" s="26"/>
      <c r="Z46" s="27"/>
      <c r="AA46" s="41"/>
      <c r="AB46" s="42"/>
    </row>
    <row r="47" spans="1:28" s="9" customFormat="1" ht="20.100000000000001" customHeight="1">
      <c r="A47" s="14"/>
      <c r="B47" s="139"/>
      <c r="C47" s="58" t="s">
        <v>118</v>
      </c>
      <c r="D47" s="82">
        <v>307</v>
      </c>
      <c r="E47" s="44" t="s">
        <v>68</v>
      </c>
      <c r="F47" s="83">
        <v>0</v>
      </c>
      <c r="G47" s="82"/>
      <c r="H47" s="44"/>
      <c r="I47" s="83"/>
      <c r="J47" s="46" t="s">
        <v>70</v>
      </c>
      <c r="K47" s="47">
        <v>1.6</v>
      </c>
      <c r="L47" s="48">
        <v>0.6</v>
      </c>
      <c r="M47" s="49">
        <v>0.1</v>
      </c>
      <c r="N47" s="50"/>
      <c r="O47" s="51">
        <f t="shared" si="2"/>
        <v>9.6000000000000002E-2</v>
      </c>
      <c r="P47" s="52"/>
      <c r="Q47" s="53"/>
      <c r="R47" s="53">
        <f t="shared" si="1"/>
        <v>9.6000000000000002E-2</v>
      </c>
      <c r="S47" s="54" t="s">
        <v>7</v>
      </c>
      <c r="T47" s="141" t="s">
        <v>91</v>
      </c>
      <c r="U47" s="56"/>
      <c r="V47" s="26"/>
      <c r="W47" s="26"/>
      <c r="X47" s="26"/>
      <c r="Y47" s="26"/>
      <c r="Z47" s="27"/>
      <c r="AA47" s="41"/>
      <c r="AB47" s="42"/>
    </row>
    <row r="48" spans="1:28" s="28" customFormat="1" ht="20.100000000000001" customHeight="1">
      <c r="A48" s="129"/>
      <c r="B48" s="128"/>
      <c r="C48" s="60" t="s">
        <v>117</v>
      </c>
      <c r="D48" s="161">
        <v>221</v>
      </c>
      <c r="E48" s="44" t="s">
        <v>68</v>
      </c>
      <c r="F48" s="160">
        <v>15</v>
      </c>
      <c r="G48" s="161"/>
      <c r="H48" s="61"/>
      <c r="I48" s="160"/>
      <c r="J48" s="62" t="s">
        <v>69</v>
      </c>
      <c r="K48" s="63">
        <v>3.5</v>
      </c>
      <c r="L48" s="64">
        <v>1.5</v>
      </c>
      <c r="M48" s="65">
        <v>0.17</v>
      </c>
      <c r="N48" s="66"/>
      <c r="O48" s="67">
        <f t="shared" si="2"/>
        <v>0.89200000000000002</v>
      </c>
      <c r="P48" s="68"/>
      <c r="Q48" s="69"/>
      <c r="R48" s="69">
        <f t="shared" si="1"/>
        <v>0.89200000000000002</v>
      </c>
      <c r="S48" s="70" t="s">
        <v>7</v>
      </c>
      <c r="T48" s="159" t="s">
        <v>91</v>
      </c>
      <c r="U48" s="71"/>
      <c r="V48" s="26"/>
      <c r="W48" s="26"/>
      <c r="X48" s="26"/>
      <c r="Y48" s="26"/>
      <c r="Z48" s="27"/>
      <c r="AA48" s="41"/>
      <c r="AB48" s="114"/>
    </row>
    <row r="49" spans="1:21" ht="20.100000000000001" customHeight="1">
      <c r="B49" s="109"/>
      <c r="C49" s="113"/>
      <c r="D49" s="2715" t="s">
        <v>18</v>
      </c>
      <c r="E49" s="2671"/>
      <c r="F49" s="2671"/>
      <c r="G49" s="2671"/>
      <c r="H49" s="2671"/>
      <c r="I49" s="2672"/>
      <c r="J49" s="2723" t="e">
        <f>VLOOKUP(A51,#REF!,6,FALSE)</f>
        <v>#REF!</v>
      </c>
      <c r="K49" s="2695"/>
      <c r="L49" s="112" t="e">
        <f>VLOOKUP(A51,#REF!,4,FALSE)</f>
        <v>#REF!</v>
      </c>
      <c r="M49" s="2724" t="s">
        <v>19</v>
      </c>
      <c r="N49" s="2697"/>
      <c r="O49" s="2697"/>
      <c r="P49" s="2697"/>
      <c r="Q49" s="2698"/>
      <c r="R49" s="111">
        <f>SUM(R14:R48)</f>
        <v>63.168025441687298</v>
      </c>
      <c r="S49" s="110" t="e">
        <f>L49</f>
        <v>#REF!</v>
      </c>
      <c r="T49" s="106"/>
      <c r="U49" s="105"/>
    </row>
    <row r="50" spans="1:21" ht="20.100000000000001" customHeight="1">
      <c r="B50" s="109"/>
      <c r="C50" s="72"/>
      <c r="D50" s="2678" t="s">
        <v>20</v>
      </c>
      <c r="E50" s="2679"/>
      <c r="F50" s="2679"/>
      <c r="G50" s="2679"/>
      <c r="H50" s="2679"/>
      <c r="I50" s="2680"/>
      <c r="J50" s="2716" t="e">
        <f>R49/J49</f>
        <v>#REF!</v>
      </c>
      <c r="K50" s="2717"/>
      <c r="L50" s="2703"/>
      <c r="M50" s="2720" t="s">
        <v>21</v>
      </c>
      <c r="N50" s="2721"/>
      <c r="O50" s="2721"/>
      <c r="P50" s="2721"/>
      <c r="Q50" s="2722"/>
      <c r="R50" s="108">
        <f>SUM(R14:R48)</f>
        <v>63.168025441687298</v>
      </c>
      <c r="S50" s="107" t="e">
        <f>L49</f>
        <v>#REF!</v>
      </c>
      <c r="T50" s="106"/>
      <c r="U50" s="105"/>
    </row>
    <row r="51" spans="1:21" ht="20.100000000000001" customHeight="1">
      <c r="A51" s="12" t="s">
        <v>133</v>
      </c>
      <c r="B51" s="104"/>
      <c r="C51" s="73"/>
      <c r="D51" s="2715"/>
      <c r="E51" s="2671"/>
      <c r="F51" s="2671"/>
      <c r="G51" s="2671"/>
      <c r="H51" s="2671"/>
      <c r="I51" s="2672"/>
      <c r="J51" s="2718"/>
      <c r="K51" s="2719"/>
      <c r="L51" s="2704"/>
      <c r="M51" s="2720" t="s">
        <v>22</v>
      </c>
      <c r="N51" s="2721"/>
      <c r="O51" s="2721"/>
      <c r="P51" s="2721"/>
      <c r="Q51" s="2722"/>
      <c r="R51" s="103">
        <f>R49-R50</f>
        <v>0</v>
      </c>
      <c r="S51" s="102" t="e">
        <f>L49</f>
        <v>#REF!</v>
      </c>
      <c r="T51" s="101"/>
      <c r="U51" s="100"/>
    </row>
  </sheetData>
  <mergeCells count="33">
    <mergeCell ref="C11:L11"/>
    <mergeCell ref="K12:K13"/>
    <mergeCell ref="B1:U5"/>
    <mergeCell ref="V5:AA5"/>
    <mergeCell ref="D50:I51"/>
    <mergeCell ref="J50:K51"/>
    <mergeCell ref="L50:L51"/>
    <mergeCell ref="M50:Q50"/>
    <mergeCell ref="M51:Q51"/>
    <mergeCell ref="D49:I49"/>
    <mergeCell ref="J49:K49"/>
    <mergeCell ref="M49:Q49"/>
    <mergeCell ref="N12:N13"/>
    <mergeCell ref="O12:O13"/>
    <mergeCell ref="Q12:Q13"/>
    <mergeCell ref="P12:P13"/>
    <mergeCell ref="M12:M13"/>
    <mergeCell ref="U12:U13"/>
    <mergeCell ref="D13:F13"/>
    <mergeCell ref="G13:I13"/>
    <mergeCell ref="R12:R13"/>
    <mergeCell ref="S12:S13"/>
    <mergeCell ref="T12:T13"/>
    <mergeCell ref="B12:B13"/>
    <mergeCell ref="C12:C13"/>
    <mergeCell ref="D12:I12"/>
    <mergeCell ref="J12:J13"/>
    <mergeCell ref="L12:L13"/>
    <mergeCell ref="B6:J6"/>
    <mergeCell ref="K6:U6"/>
    <mergeCell ref="T8:U8"/>
    <mergeCell ref="T9:U9"/>
    <mergeCell ref="T10:U10"/>
  </mergeCells>
  <conditionalFormatting sqref="J50:K51">
    <cfRule type="cellIs" dxfId="45" priority="1" operator="greaterThanOrEqual">
      <formula>1</formula>
    </cfRule>
    <cfRule type="cellIs" dxfId="44" priority="2" operator="greaterThan">
      <formula>100%</formula>
    </cfRule>
  </conditionalFormatting>
  <printOptions horizontalCentered="1"/>
  <pageMargins left="0.39370078740157483" right="0.39370078740157483" top="0.78740157480314965" bottom="0.78740157480314965" header="0" footer="0.19685039370078741"/>
  <pageSetup paperSize="9" scale="47" firstPageNumber="3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AI89"/>
  <sheetViews>
    <sheetView view="pageBreakPreview" topLeftCell="A25" zoomScale="80" zoomScaleNormal="40" zoomScaleSheetLayoutView="80" workbookViewId="0">
      <selection activeCell="P63" sqref="P63"/>
    </sheetView>
  </sheetViews>
  <sheetFormatPr defaultRowHeight="15"/>
  <cols>
    <col min="1" max="1" width="2.140625" style="310" customWidth="1"/>
    <col min="2" max="2" width="11.140625" style="316" customWidth="1"/>
    <col min="3" max="3" width="34.42578125" style="316" customWidth="1"/>
    <col min="4" max="4" width="12.28515625" style="316" customWidth="1"/>
    <col min="5" max="7" width="15.28515625" style="310" bestFit="1" customWidth="1"/>
    <col min="8" max="8" width="15.28515625" style="310" customWidth="1"/>
    <col min="9" max="9" width="13.42578125" style="310" bestFit="1" customWidth="1"/>
    <col min="10" max="11" width="15.28515625" style="310" bestFit="1" customWidth="1"/>
    <col min="12" max="14" width="15.28515625" style="310" customWidth="1"/>
    <col min="15" max="15" width="1.42578125" style="310" customWidth="1"/>
    <col min="16" max="16" width="16.7109375" style="310" customWidth="1"/>
    <col min="17" max="17" width="9.140625" style="310"/>
    <col min="18" max="18" width="14.5703125" style="310" bestFit="1" customWidth="1"/>
    <col min="19" max="16384" width="9.140625" style="310"/>
  </cols>
  <sheetData>
    <row r="1" spans="1:17" ht="15" customHeight="1">
      <c r="A1" s="413"/>
      <c r="B1" s="414"/>
      <c r="C1" s="414"/>
      <c r="D1" s="414"/>
      <c r="E1" s="415"/>
      <c r="F1" s="415"/>
      <c r="G1" s="415"/>
      <c r="H1" s="415"/>
      <c r="I1" s="415"/>
      <c r="J1" s="415"/>
      <c r="K1" s="415"/>
      <c r="L1" s="415"/>
      <c r="M1" s="415"/>
      <c r="N1" s="415"/>
      <c r="O1" s="416"/>
    </row>
    <row r="2" spans="1:17" ht="12" customHeight="1">
      <c r="A2" s="749"/>
      <c r="B2" s="2295" t="s">
        <v>531</v>
      </c>
      <c r="C2" s="2295"/>
      <c r="D2" s="2295"/>
      <c r="E2" s="2295"/>
      <c r="F2" s="2295"/>
      <c r="G2" s="2295"/>
      <c r="H2" s="2295"/>
      <c r="I2" s="2295"/>
      <c r="J2" s="2295"/>
      <c r="K2" s="2295"/>
      <c r="L2" s="2295"/>
      <c r="M2" s="2295"/>
      <c r="N2" s="2295"/>
      <c r="O2" s="750"/>
    </row>
    <row r="3" spans="1:17" ht="12" customHeight="1">
      <c r="A3" s="749"/>
      <c r="B3" s="2295"/>
      <c r="C3" s="2295"/>
      <c r="D3" s="2295"/>
      <c r="E3" s="2295"/>
      <c r="F3" s="2295"/>
      <c r="G3" s="2295"/>
      <c r="H3" s="2295"/>
      <c r="I3" s="2295"/>
      <c r="J3" s="2295"/>
      <c r="K3" s="2295"/>
      <c r="L3" s="2295"/>
      <c r="M3" s="2295"/>
      <c r="N3" s="2295"/>
      <c r="O3" s="750"/>
    </row>
    <row r="4" spans="1:17" s="311" customFormat="1" ht="15.75">
      <c r="A4" s="831"/>
      <c r="B4" s="1298" t="s">
        <v>777</v>
      </c>
      <c r="C4" s="1299"/>
      <c r="D4" s="1298"/>
      <c r="E4" s="1300"/>
      <c r="F4" s="1300"/>
      <c r="G4" s="1301"/>
      <c r="H4" s="1302"/>
      <c r="I4" s="1303"/>
      <c r="J4" s="1303"/>
      <c r="K4" s="1496" t="s">
        <v>370</v>
      </c>
      <c r="L4" s="1497" t="s">
        <v>643</v>
      </c>
      <c r="M4" s="1303"/>
      <c r="N4" s="1303"/>
      <c r="O4" s="1116"/>
    </row>
    <row r="5" spans="1:17" s="311" customFormat="1" ht="15.75">
      <c r="A5" s="831"/>
      <c r="B5" s="1298" t="s">
        <v>585</v>
      </c>
      <c r="C5" s="1299"/>
      <c r="D5" s="1298"/>
      <c r="E5" s="1300"/>
      <c r="F5" s="1300"/>
      <c r="G5" s="1301"/>
      <c r="H5" s="1304"/>
      <c r="I5" s="1305"/>
      <c r="J5" s="1305"/>
      <c r="K5" s="1496" t="s">
        <v>369</v>
      </c>
      <c r="L5" s="1498" t="s">
        <v>695</v>
      </c>
      <c r="M5" s="1305"/>
      <c r="N5" s="1305"/>
      <c r="O5" s="1116"/>
      <c r="P5" s="314"/>
    </row>
    <row r="6" spans="1:17" s="311" customFormat="1" ht="15.75">
      <c r="A6" s="831"/>
      <c r="B6" s="1298" t="s">
        <v>1002</v>
      </c>
      <c r="C6" s="1299"/>
      <c r="D6" s="1298"/>
      <c r="E6" s="1300"/>
      <c r="F6" s="1300"/>
      <c r="G6" s="1301"/>
      <c r="H6" s="1304"/>
      <c r="I6" s="1304"/>
      <c r="J6" s="1304"/>
      <c r="K6" s="1304"/>
      <c r="L6" s="1304"/>
      <c r="M6" s="1304"/>
      <c r="N6" s="1304"/>
      <c r="O6" s="1116"/>
      <c r="P6" s="314"/>
    </row>
    <row r="7" spans="1:17" s="311" customFormat="1" ht="15.75">
      <c r="A7" s="831"/>
      <c r="B7" s="1298"/>
      <c r="C7" s="1298"/>
      <c r="D7" s="1298"/>
      <c r="E7" s="1300"/>
      <c r="F7" s="1300"/>
      <c r="G7" s="1301"/>
      <c r="H7" s="1304"/>
      <c r="I7" s="1304"/>
      <c r="J7" s="1304"/>
      <c r="K7" s="1304"/>
      <c r="L7" s="1304"/>
      <c r="M7" s="1304"/>
      <c r="N7" s="1304"/>
      <c r="O7" s="1116"/>
      <c r="P7" s="314"/>
    </row>
    <row r="8" spans="1:17" s="311" customFormat="1" ht="16.5" customHeight="1">
      <c r="A8" s="831"/>
      <c r="B8" s="313"/>
      <c r="C8" s="313"/>
      <c r="D8" s="1306"/>
      <c r="E8" s="1306"/>
      <c r="F8" s="1306"/>
      <c r="G8" s="1306"/>
      <c r="H8" s="1306"/>
      <c r="I8" s="1306"/>
      <c r="J8" s="1306"/>
      <c r="K8" s="1306"/>
      <c r="L8" s="1306"/>
      <c r="M8" s="1306"/>
      <c r="N8" s="1306"/>
      <c r="O8" s="1116"/>
    </row>
    <row r="9" spans="1:17" s="311" customFormat="1" ht="30" customHeight="1">
      <c r="A9" s="831"/>
      <c r="B9" s="1117" t="s">
        <v>396</v>
      </c>
      <c r="C9" s="1117" t="s">
        <v>0</v>
      </c>
      <c r="D9" s="1117"/>
      <c r="E9" s="1030">
        <v>44805</v>
      </c>
      <c r="F9" s="1030">
        <f>E9+31</f>
        <v>44836</v>
      </c>
      <c r="G9" s="1030">
        <f>F9+31</f>
        <v>44867</v>
      </c>
      <c r="H9" s="1030">
        <f>G9+31</f>
        <v>44898</v>
      </c>
      <c r="I9" s="1030">
        <f>H9+31</f>
        <v>44929</v>
      </c>
      <c r="J9" s="1030">
        <f t="shared" ref="J9:N9" si="0">I9+30</f>
        <v>44959</v>
      </c>
      <c r="K9" s="1030">
        <f t="shared" si="0"/>
        <v>44989</v>
      </c>
      <c r="L9" s="1030">
        <f t="shared" si="0"/>
        <v>45019</v>
      </c>
      <c r="M9" s="1030">
        <f t="shared" si="0"/>
        <v>45049</v>
      </c>
      <c r="N9" s="1030">
        <f t="shared" si="0"/>
        <v>45079</v>
      </c>
      <c r="O9" s="1116"/>
    </row>
    <row r="10" spans="1:17" s="311" customFormat="1" ht="15.75">
      <c r="A10" s="831"/>
      <c r="B10" s="2290" t="s">
        <v>381</v>
      </c>
      <c r="C10" s="2293" t="str">
        <f>'12 - FINANCEIRA'!$B$16</f>
        <v>IMPLANTAÇÃO DO CANTEIRO DE OBRAS</v>
      </c>
      <c r="D10" s="1118" t="s">
        <v>284</v>
      </c>
      <c r="E10" s="1084" t="str">
        <f t="shared" ref="E10:L10" si="1">IF(E12&gt;0,E12/$C13,"")</f>
        <v/>
      </c>
      <c r="F10" s="1084" t="str">
        <f t="shared" si="1"/>
        <v/>
      </c>
      <c r="G10" s="1084">
        <f t="shared" si="1"/>
        <v>0.82827413436914343</v>
      </c>
      <c r="H10" s="1084" t="str">
        <f t="shared" si="1"/>
        <v/>
      </c>
      <c r="I10" s="1084" t="str">
        <f t="shared" si="1"/>
        <v/>
      </c>
      <c r="J10" s="1084" t="str">
        <f t="shared" si="1"/>
        <v/>
      </c>
      <c r="K10" s="1084" t="str">
        <f t="shared" si="1"/>
        <v/>
      </c>
      <c r="L10" s="1084" t="str">
        <f t="shared" si="1"/>
        <v/>
      </c>
      <c r="M10" s="1084" t="str">
        <f t="shared" ref="M10:N10" si="2">IF(M12&gt;0,M12/$C13,"")</f>
        <v/>
      </c>
      <c r="N10" s="1084">
        <f t="shared" si="2"/>
        <v>2.1973873595652817E-2</v>
      </c>
      <c r="O10" s="1116"/>
      <c r="P10" s="312">
        <f>SUM(E10:N10)</f>
        <v>0.85024800796479627</v>
      </c>
    </row>
    <row r="11" spans="1:17" s="311" customFormat="1" ht="15.75">
      <c r="A11" s="831"/>
      <c r="B11" s="2291"/>
      <c r="C11" s="2294"/>
      <c r="D11" s="1118" t="s">
        <v>285</v>
      </c>
      <c r="E11" s="1031">
        <f t="shared" ref="E11:G11" si="3">IF(E13&gt;0,E13/$C13,0)</f>
        <v>1</v>
      </c>
      <c r="F11" s="1031"/>
      <c r="G11" s="1031">
        <f t="shared" si="3"/>
        <v>0</v>
      </c>
      <c r="H11" s="1031"/>
      <c r="I11" s="1031"/>
      <c r="J11" s="1031"/>
      <c r="K11" s="1031"/>
      <c r="L11" s="1031"/>
      <c r="M11" s="1031"/>
      <c r="N11" s="1031"/>
      <c r="O11" s="1116"/>
      <c r="P11" s="408">
        <f>SUM(E11:N11)</f>
        <v>1</v>
      </c>
    </row>
    <row r="12" spans="1:17" s="311" customFormat="1" ht="15.75">
      <c r="A12" s="831"/>
      <c r="B12" s="2291"/>
      <c r="C12" s="1117" t="s">
        <v>286</v>
      </c>
      <c r="D12" s="1118" t="s">
        <v>287</v>
      </c>
      <c r="E12" s="1085">
        <f t="shared" ref="E12:N12" si="4">VLOOKUP($B10,$D$64:$N$72,E$63+1,FALSE)</f>
        <v>0</v>
      </c>
      <c r="F12" s="1085">
        <f t="shared" si="4"/>
        <v>0</v>
      </c>
      <c r="G12" s="1085">
        <f t="shared" si="4"/>
        <v>37145.9</v>
      </c>
      <c r="H12" s="1085">
        <f t="shared" si="4"/>
        <v>0</v>
      </c>
      <c r="I12" s="1085">
        <f t="shared" si="4"/>
        <v>0</v>
      </c>
      <c r="J12" s="1085">
        <f t="shared" si="4"/>
        <v>0</v>
      </c>
      <c r="K12" s="1085">
        <f t="shared" si="4"/>
        <v>0</v>
      </c>
      <c r="L12" s="1085">
        <f t="shared" si="4"/>
        <v>0</v>
      </c>
      <c r="M12" s="1085">
        <f t="shared" si="4"/>
        <v>0</v>
      </c>
      <c r="N12" s="1085">
        <f t="shared" si="4"/>
        <v>985.47000000000025</v>
      </c>
      <c r="O12" s="1116"/>
      <c r="P12" s="331">
        <f>SUM(E12:N12)</f>
        <v>38131.370000000003</v>
      </c>
    </row>
    <row r="13" spans="1:17" s="311" customFormat="1" ht="15.75">
      <c r="A13" s="831"/>
      <c r="B13" s="2292"/>
      <c r="C13" s="1307">
        <f>'12 - FINANCEIRA'!$G$16</f>
        <v>44847.35</v>
      </c>
      <c r="D13" s="1118" t="s">
        <v>288</v>
      </c>
      <c r="E13" s="1032">
        <f>$C$13</f>
        <v>44847.35</v>
      </c>
      <c r="F13" s="1032"/>
      <c r="G13" s="1032"/>
      <c r="H13" s="1032"/>
      <c r="I13" s="1032"/>
      <c r="J13" s="1032"/>
      <c r="K13" s="1032"/>
      <c r="L13" s="1032"/>
      <c r="M13" s="1032"/>
      <c r="N13" s="1032"/>
      <c r="O13" s="1116"/>
      <c r="P13" s="331">
        <f>SUM(E13:N13)</f>
        <v>44847.35</v>
      </c>
      <c r="Q13" s="311">
        <f>IF(P13=C13,1,FALSE)</f>
        <v>1</v>
      </c>
    </row>
    <row r="14" spans="1:17" s="311" customFormat="1" ht="4.5" customHeight="1">
      <c r="A14" s="831"/>
      <c r="B14" s="313"/>
      <c r="C14" s="313"/>
      <c r="D14" s="1306"/>
      <c r="E14" s="1306"/>
      <c r="F14" s="1306"/>
      <c r="G14" s="1306"/>
      <c r="H14" s="1306"/>
      <c r="I14" s="1306"/>
      <c r="J14" s="1306"/>
      <c r="K14" s="1306"/>
      <c r="L14" s="1306"/>
      <c r="M14" s="1306"/>
      <c r="N14" s="1306"/>
      <c r="O14" s="1116"/>
    </row>
    <row r="15" spans="1:17" s="311" customFormat="1" ht="15.75">
      <c r="A15" s="831"/>
      <c r="B15" s="2290" t="s">
        <v>378</v>
      </c>
      <c r="C15" s="2293" t="str">
        <f>'12 - FINANCEIRA'!$B$24</f>
        <v>CANTEIRO DE OBRAS</v>
      </c>
      <c r="D15" s="1118" t="s">
        <v>284</v>
      </c>
      <c r="E15" s="1084" t="str">
        <f t="shared" ref="E15:J15" si="5">IF(E17&gt;0,E17/$C18,"")</f>
        <v/>
      </c>
      <c r="F15" s="1084" t="str">
        <f t="shared" si="5"/>
        <v/>
      </c>
      <c r="G15" s="1084">
        <f t="shared" si="5"/>
        <v>0.22893543461159624</v>
      </c>
      <c r="H15" s="1084">
        <f t="shared" si="5"/>
        <v>0.13553228269420187</v>
      </c>
      <c r="I15" s="1084">
        <f t="shared" si="5"/>
        <v>0.13553228269420187</v>
      </c>
      <c r="J15" s="1084">
        <f t="shared" si="5"/>
        <v>0.13553228269420187</v>
      </c>
      <c r="K15" s="1084">
        <f t="shared" ref="K15:L15" si="6">IF(K17&gt;0,K17/$C18,"")</f>
        <v>0.13553228269420187</v>
      </c>
      <c r="L15" s="1084">
        <f t="shared" si="6"/>
        <v>0.13553228269420189</v>
      </c>
      <c r="M15" s="1084" t="str">
        <f t="shared" ref="M15:N15" si="7">IF(M17&gt;0,M17/$C18,"")</f>
        <v/>
      </c>
      <c r="N15" s="1084">
        <f t="shared" si="7"/>
        <v>9.3403151917394373E-2</v>
      </c>
      <c r="O15" s="1116"/>
      <c r="P15" s="312">
        <f>SUM(E15:N15)</f>
        <v>0.99999999999999989</v>
      </c>
    </row>
    <row r="16" spans="1:17" s="311" customFormat="1" ht="15.75">
      <c r="A16" s="831"/>
      <c r="B16" s="2291"/>
      <c r="C16" s="2294"/>
      <c r="D16" s="1118" t="s">
        <v>285</v>
      </c>
      <c r="E16" s="1031">
        <f t="shared" ref="E16:G16" si="8">IF(E18&gt;0,E18/$C18,0)</f>
        <v>0.36440000000000006</v>
      </c>
      <c r="F16" s="1031">
        <f t="shared" si="8"/>
        <v>0.27100000000000002</v>
      </c>
      <c r="G16" s="1031">
        <f t="shared" si="8"/>
        <v>0.36459999999999998</v>
      </c>
      <c r="H16" s="1031"/>
      <c r="I16" s="1031"/>
      <c r="J16" s="1031"/>
      <c r="K16" s="1031"/>
      <c r="L16" s="1031"/>
      <c r="M16" s="1031"/>
      <c r="N16" s="1031"/>
      <c r="O16" s="1116"/>
      <c r="P16" s="408">
        <f>SUM(E16:N16)</f>
        <v>1</v>
      </c>
    </row>
    <row r="17" spans="1:21" s="311" customFormat="1" ht="15.75">
      <c r="A17" s="831"/>
      <c r="B17" s="2291"/>
      <c r="C17" s="1117" t="s">
        <v>286</v>
      </c>
      <c r="D17" s="1118" t="s">
        <v>287</v>
      </c>
      <c r="E17" s="1085">
        <f t="shared" ref="E17:N17" si="9">VLOOKUP($B15,$D$64:$N$72,E$63+1,FALSE)</f>
        <v>0</v>
      </c>
      <c r="F17" s="1085">
        <f t="shared" si="9"/>
        <v>0</v>
      </c>
      <c r="G17" s="1085">
        <f t="shared" si="9"/>
        <v>5541.08</v>
      </c>
      <c r="H17" s="1085">
        <f t="shared" si="9"/>
        <v>3280.38</v>
      </c>
      <c r="I17" s="1085">
        <f t="shared" si="9"/>
        <v>3280.38</v>
      </c>
      <c r="J17" s="1085">
        <f t="shared" si="9"/>
        <v>3280.38</v>
      </c>
      <c r="K17" s="1085">
        <f t="shared" si="9"/>
        <v>3280.3799999999997</v>
      </c>
      <c r="L17" s="1085">
        <f t="shared" si="9"/>
        <v>3280.3800000000006</v>
      </c>
      <c r="M17" s="1085">
        <f t="shared" si="9"/>
        <v>0</v>
      </c>
      <c r="N17" s="1085">
        <f t="shared" si="9"/>
        <v>2260.6999999999998</v>
      </c>
      <c r="O17" s="1116"/>
      <c r="P17" s="331">
        <f>SUM(E17:N17)</f>
        <v>24203.680000000004</v>
      </c>
    </row>
    <row r="18" spans="1:21" s="311" customFormat="1" ht="23.25">
      <c r="A18" s="831"/>
      <c r="B18" s="2292"/>
      <c r="C18" s="1307">
        <f>'12 - FINANCEIRA'!$G$24</f>
        <v>24203.68</v>
      </c>
      <c r="D18" s="1118" t="s">
        <v>288</v>
      </c>
      <c r="E18" s="1032">
        <f>$C$18*0.3644</f>
        <v>8819.8209920000008</v>
      </c>
      <c r="F18" s="1032">
        <f>$C$18*0.271</f>
        <v>6559.1972800000003</v>
      </c>
      <c r="G18" s="1032">
        <f>$C$18*0.3646</f>
        <v>8824.6617279999991</v>
      </c>
      <c r="H18" s="1032"/>
      <c r="I18" s="1032"/>
      <c r="J18" s="1032"/>
      <c r="K18" s="1032"/>
      <c r="L18" s="1032"/>
      <c r="M18" s="1032"/>
      <c r="N18" s="1032"/>
      <c r="O18" s="1116"/>
      <c r="P18" s="331">
        <f>SUM(E18:N18)</f>
        <v>24203.68</v>
      </c>
      <c r="Q18" s="311">
        <f>IF(P18=C18,1,FALSE)</f>
        <v>1</v>
      </c>
      <c r="U18" s="1661"/>
    </row>
    <row r="19" spans="1:21" s="311" customFormat="1" ht="5.0999999999999996" customHeight="1">
      <c r="A19" s="831"/>
      <c r="B19" s="313"/>
      <c r="C19" s="313"/>
      <c r="D19" s="1306"/>
      <c r="E19" s="1306"/>
      <c r="F19" s="1306"/>
      <c r="G19" s="1306"/>
      <c r="H19" s="1306"/>
      <c r="I19" s="1306"/>
      <c r="J19" s="1306"/>
      <c r="K19" s="1306"/>
      <c r="L19" s="1306"/>
      <c r="M19" s="1306"/>
      <c r="N19" s="1306"/>
      <c r="O19" s="1116"/>
    </row>
    <row r="20" spans="1:21" s="311" customFormat="1" ht="15.75">
      <c r="A20" s="831"/>
      <c r="B20" s="2290" t="s">
        <v>380</v>
      </c>
      <c r="C20" s="2293" t="str">
        <f>'12 - FINANCEIRA'!$B$32</f>
        <v>TERRAPLANAGEM E PAVIMENTAÇÃO</v>
      </c>
      <c r="D20" s="1118" t="s">
        <v>284</v>
      </c>
      <c r="E20" s="1084" t="str">
        <f>IF(E22&gt;0,E22/$C23,"")</f>
        <v/>
      </c>
      <c r="F20" s="1084" t="str">
        <f t="shared" ref="F20:J20" si="10">IF(F22&gt;0,F22/$C23,"")</f>
        <v/>
      </c>
      <c r="G20" s="1084">
        <f t="shared" si="10"/>
        <v>8.2825540287197338E-2</v>
      </c>
      <c r="H20" s="1084">
        <f t="shared" si="10"/>
        <v>3.1728104963532726E-2</v>
      </c>
      <c r="I20" s="1084">
        <f t="shared" si="10"/>
        <v>8.4072939919309433E-2</v>
      </c>
      <c r="J20" s="1084">
        <f t="shared" si="10"/>
        <v>3.4394281167813442E-2</v>
      </c>
      <c r="K20" s="1084">
        <f t="shared" ref="K20:L20" si="11">IF(K22&gt;0,K22/$C23,"")</f>
        <v>2.6913263686623657E-2</v>
      </c>
      <c r="L20" s="1084">
        <f t="shared" si="11"/>
        <v>4.9817057437421229E-2</v>
      </c>
      <c r="M20" s="1084">
        <f t="shared" ref="M20:N20" si="12">IF(M22&gt;0,M22/$C23,"")</f>
        <v>3.2224557886808844E-3</v>
      </c>
      <c r="N20" s="1084">
        <f t="shared" si="12"/>
        <v>0.42255858644384503</v>
      </c>
      <c r="O20" s="1116"/>
      <c r="P20" s="312">
        <f>SUM(E20:N20)</f>
        <v>0.73553222969442378</v>
      </c>
    </row>
    <row r="21" spans="1:21" s="311" customFormat="1" ht="15.75">
      <c r="A21" s="831"/>
      <c r="B21" s="2291"/>
      <c r="C21" s="2294"/>
      <c r="D21" s="1118" t="s">
        <v>285</v>
      </c>
      <c r="E21" s="1031">
        <f>IF(E23&gt;0,E23/$C23,0)</f>
        <v>1.1048550797297999E-2</v>
      </c>
      <c r="F21" s="1031">
        <f>IF(F23&gt;0,F23/$C23,0)</f>
        <v>6.8736423285142498E-2</v>
      </c>
      <c r="G21" s="1031">
        <f>IF(G23&gt;0,G23/$C23,0)</f>
        <v>6.1457040774148004E-3</v>
      </c>
      <c r="H21" s="1031">
        <f t="shared" ref="H21:J21" si="13">IF(H23&gt;0,H23/$C23,0)</f>
        <v>6.3472868740475702E-3</v>
      </c>
      <c r="I21" s="1031">
        <f t="shared" si="13"/>
        <v>6.3472868740475702E-3</v>
      </c>
      <c r="J21" s="1031">
        <f t="shared" si="13"/>
        <v>0.90137474809205009</v>
      </c>
      <c r="K21" s="1031"/>
      <c r="L21" s="1031"/>
      <c r="M21" s="1031"/>
      <c r="N21" s="1031"/>
      <c r="O21" s="1116"/>
      <c r="P21" s="408">
        <f>SUM(E21:N21)</f>
        <v>1.0000000000000004</v>
      </c>
    </row>
    <row r="22" spans="1:21" s="311" customFormat="1" ht="15.75">
      <c r="A22" s="831"/>
      <c r="B22" s="2291"/>
      <c r="C22" s="1117" t="s">
        <v>286</v>
      </c>
      <c r="D22" s="1118" t="s">
        <v>287</v>
      </c>
      <c r="E22" s="1085">
        <f t="shared" ref="E22:N22" si="14">VLOOKUP($B20,$D$64:$N$72,E$63+1,FALSE)</f>
        <v>0</v>
      </c>
      <c r="F22" s="1085">
        <f t="shared" si="14"/>
        <v>0</v>
      </c>
      <c r="G22" s="1085">
        <f t="shared" si="14"/>
        <v>51209.89</v>
      </c>
      <c r="H22" s="1085">
        <f t="shared" si="14"/>
        <v>19617.050000000003</v>
      </c>
      <c r="I22" s="1085">
        <f t="shared" si="14"/>
        <v>51981.14</v>
      </c>
      <c r="J22" s="1085">
        <f t="shared" si="14"/>
        <v>21265.510000000002</v>
      </c>
      <c r="K22" s="1085">
        <f t="shared" si="14"/>
        <v>16640.099999999995</v>
      </c>
      <c r="L22" s="1085">
        <f t="shared" si="14"/>
        <v>30801.200000000004</v>
      </c>
      <c r="M22" s="1085">
        <f t="shared" si="14"/>
        <v>1992.3999999999924</v>
      </c>
      <c r="N22" s="1085">
        <f t="shared" si="14"/>
        <v>261262.15000000002</v>
      </c>
      <c r="O22" s="1116"/>
      <c r="P22" s="331">
        <f>SUM(E22:N22)</f>
        <v>454769.44000000006</v>
      </c>
    </row>
    <row r="23" spans="1:21" s="311" customFormat="1" ht="15.75">
      <c r="A23" s="831"/>
      <c r="B23" s="2292"/>
      <c r="C23" s="1307">
        <f>'12 - FINANCEIRA'!$G$32</f>
        <v>618286.21730000002</v>
      </c>
      <c r="D23" s="1118" t="s">
        <v>288</v>
      </c>
      <c r="E23" s="1032">
        <f>$C$23*0.011048550797298</f>
        <v>6831.1666791082789</v>
      </c>
      <c r="F23" s="1032">
        <f>$C$23*0.0687364232851425</f>
        <v>42498.783143702392</v>
      </c>
      <c r="G23" s="1032">
        <f>$C$23*0.0061457040774148</f>
        <v>3799.8041266699834</v>
      </c>
      <c r="H23" s="1032">
        <f>$C$23*0.00634728687404757</f>
        <v>3924.4399914728137</v>
      </c>
      <c r="I23" s="1032">
        <f>$C$23*0.00634728687404757</f>
        <v>3924.4399914728137</v>
      </c>
      <c r="J23" s="1032">
        <f>$C$23*0.90137474809205</f>
        <v>557307.58336757403</v>
      </c>
      <c r="K23" s="1032"/>
      <c r="L23" s="1032"/>
      <c r="M23" s="1032"/>
      <c r="N23" s="1032"/>
      <c r="O23" s="1116"/>
      <c r="P23" s="331">
        <f>SUM(E23:N23)</f>
        <v>618286.21730000025</v>
      </c>
      <c r="Q23" s="311">
        <f>IF(P23=C23,1,FALSE)</f>
        <v>1</v>
      </c>
    </row>
    <row r="24" spans="1:21" s="311" customFormat="1" ht="5.0999999999999996" customHeight="1">
      <c r="A24" s="831"/>
      <c r="B24" s="313"/>
      <c r="C24" s="313"/>
      <c r="D24" s="1306"/>
      <c r="E24" s="1306"/>
      <c r="F24" s="1306"/>
      <c r="G24" s="1306"/>
      <c r="H24" s="1306"/>
      <c r="I24" s="1306"/>
      <c r="J24" s="1306"/>
      <c r="K24" s="1306"/>
      <c r="L24" s="1306"/>
      <c r="M24" s="1306"/>
      <c r="N24" s="1306"/>
      <c r="O24" s="1116"/>
    </row>
    <row r="25" spans="1:21" s="311" customFormat="1" ht="15.75" customHeight="1">
      <c r="A25" s="831"/>
      <c r="B25" s="2290" t="s">
        <v>450</v>
      </c>
      <c r="C25" s="2293" t="str">
        <f>'12 - FINANCEIRA'!$B$45</f>
        <v>DRENAGEM PLUVIAL</v>
      </c>
      <c r="D25" s="1118" t="s">
        <v>284</v>
      </c>
      <c r="E25" s="1084" t="str">
        <f>IF(E27&gt;0,E27/$C28,"")</f>
        <v/>
      </c>
      <c r="F25" s="1084" t="str">
        <f t="shared" ref="F25:J25" si="15">IF(F27&gt;0,F27/$C28,"")</f>
        <v/>
      </c>
      <c r="G25" s="1084">
        <f t="shared" si="15"/>
        <v>6.8631651419621506E-2</v>
      </c>
      <c r="H25" s="1084">
        <f t="shared" si="15"/>
        <v>0.13515209839765155</v>
      </c>
      <c r="I25" s="1084">
        <f t="shared" si="15"/>
        <v>8.5789564274526872E-2</v>
      </c>
      <c r="J25" s="1084">
        <f t="shared" si="15"/>
        <v>0.11893266301351202</v>
      </c>
      <c r="K25" s="1084">
        <f t="shared" ref="K25:L25" si="16">IF(K27&gt;0,K27/$C28,"")</f>
        <v>0.16182744515077543</v>
      </c>
      <c r="L25" s="1084">
        <f t="shared" si="16"/>
        <v>5.0487178301832719E-2</v>
      </c>
      <c r="M25" s="1084">
        <f t="shared" ref="M25:N25" si="17">IF(M27&gt;0,M27/$C28,"")</f>
        <v>4.1722055166437816E-2</v>
      </c>
      <c r="N25" s="1084">
        <f t="shared" si="17"/>
        <v>0.15437116027466191</v>
      </c>
      <c r="O25" s="1116"/>
      <c r="P25" s="312">
        <f>SUM(E25:N25)</f>
        <v>0.8169138159990198</v>
      </c>
    </row>
    <row r="26" spans="1:21" s="311" customFormat="1" ht="15.75" customHeight="1">
      <c r="A26" s="831"/>
      <c r="B26" s="2291"/>
      <c r="C26" s="2294"/>
      <c r="D26" s="1118" t="s">
        <v>285</v>
      </c>
      <c r="E26" s="1031"/>
      <c r="F26" s="1031">
        <f>IF(F28&gt;0,F28/$C28,0)</f>
        <v>0.29999996410234098</v>
      </c>
      <c r="G26" s="1031">
        <f>IF(G28&gt;0,G28/$C28,0)</f>
        <v>0.50000017948829301</v>
      </c>
      <c r="H26" s="1031">
        <f>IF(H28&gt;0,H28/$C28,0)</f>
        <v>0.19999985640936499</v>
      </c>
      <c r="I26" s="1031"/>
      <c r="J26" s="1031"/>
      <c r="K26" s="1031"/>
      <c r="L26" s="1031"/>
      <c r="M26" s="1031"/>
      <c r="N26" s="1031"/>
      <c r="O26" s="1116"/>
      <c r="P26" s="408">
        <f>SUM(E26:N26)</f>
        <v>0.999999999999999</v>
      </c>
    </row>
    <row r="27" spans="1:21" s="311" customFormat="1" ht="15.75" customHeight="1">
      <c r="A27" s="831"/>
      <c r="B27" s="2291"/>
      <c r="C27" s="1117" t="s">
        <v>286</v>
      </c>
      <c r="D27" s="1118" t="s">
        <v>287</v>
      </c>
      <c r="E27" s="1085">
        <f t="shared" ref="E27:N27" si="18">VLOOKUP($B25,$D$64:$N$72,E$63+1,FALSE)</f>
        <v>0</v>
      </c>
      <c r="F27" s="1085">
        <f t="shared" si="18"/>
        <v>0</v>
      </c>
      <c r="G27" s="1085">
        <f t="shared" si="18"/>
        <v>2783.36</v>
      </c>
      <c r="H27" s="1085">
        <f t="shared" si="18"/>
        <v>5481.1</v>
      </c>
      <c r="I27" s="1085">
        <f t="shared" si="18"/>
        <v>3479.2</v>
      </c>
      <c r="J27" s="1085">
        <f t="shared" si="18"/>
        <v>4823.3200000000006</v>
      </c>
      <c r="K27" s="1085">
        <f t="shared" si="18"/>
        <v>6562.9199999999992</v>
      </c>
      <c r="L27" s="1085">
        <f t="shared" si="18"/>
        <v>2047.5099999999984</v>
      </c>
      <c r="M27" s="1085">
        <f t="shared" si="18"/>
        <v>1692.04</v>
      </c>
      <c r="N27" s="1085">
        <f t="shared" si="18"/>
        <v>6260.53</v>
      </c>
      <c r="O27" s="1116"/>
      <c r="P27" s="331">
        <f>SUM(E27:N27)</f>
        <v>33129.979999999996</v>
      </c>
    </row>
    <row r="28" spans="1:21" s="311" customFormat="1" ht="15" customHeight="1">
      <c r="A28" s="831"/>
      <c r="B28" s="2292"/>
      <c r="C28" s="1307">
        <f>'12 - FINANCEIRA'!$G$45</f>
        <v>40555.049200000001</v>
      </c>
      <c r="D28" s="1118" t="s">
        <v>288</v>
      </c>
      <c r="E28" s="1032"/>
      <c r="F28" s="1032">
        <f>$C$28*0.299999964102341</f>
        <v>12166.513304168673</v>
      </c>
      <c r="G28" s="1032">
        <f>$C$28*0.500000179488293</f>
        <v>20277.531879156555</v>
      </c>
      <c r="H28" s="1032">
        <f>$C$28*0.199999856409365</f>
        <v>8111.0040166747331</v>
      </c>
      <c r="I28" s="1032"/>
      <c r="J28" s="1032"/>
      <c r="K28" s="1032"/>
      <c r="L28" s="1032"/>
      <c r="M28" s="1032"/>
      <c r="N28" s="1032"/>
      <c r="O28" s="1116"/>
      <c r="P28" s="331">
        <f>SUM(E28:N28)</f>
        <v>40555.049199999965</v>
      </c>
      <c r="Q28" s="311">
        <f>IF(P28=C28,1,FALSE)</f>
        <v>1</v>
      </c>
    </row>
    <row r="29" spans="1:21" s="311" customFormat="1" ht="4.5" customHeight="1">
      <c r="A29" s="831"/>
      <c r="B29" s="313"/>
      <c r="C29" s="313"/>
      <c r="D29" s="1306"/>
      <c r="E29" s="1306"/>
      <c r="F29" s="1306"/>
      <c r="G29" s="1306"/>
      <c r="H29" s="1306"/>
      <c r="I29" s="1306"/>
      <c r="J29" s="1306"/>
      <c r="K29" s="1306"/>
      <c r="L29" s="1306"/>
      <c r="M29" s="1306"/>
      <c r="N29" s="1306"/>
      <c r="O29" s="1116"/>
    </row>
    <row r="30" spans="1:21" s="311" customFormat="1" ht="15.75" customHeight="1">
      <c r="A30" s="831"/>
      <c r="B30" s="2290" t="s">
        <v>486</v>
      </c>
      <c r="C30" s="2293" t="str">
        <f>'12 - FINANCEIRA'!$B$51</f>
        <v>MANUTENÇÃO REDE ESGOTO</v>
      </c>
      <c r="D30" s="1118" t="s">
        <v>284</v>
      </c>
      <c r="E30" s="1084" t="str">
        <f>IF(E32&gt;0,E32/$C33,"")</f>
        <v/>
      </c>
      <c r="F30" s="1084" t="str">
        <f t="shared" ref="F30:L30" si="19">IF(F32&gt;0,F32/$C33,"")</f>
        <v/>
      </c>
      <c r="G30" s="1084" t="str">
        <f t="shared" si="19"/>
        <v/>
      </c>
      <c r="H30" s="1084" t="str">
        <f t="shared" si="19"/>
        <v/>
      </c>
      <c r="I30" s="1084">
        <f t="shared" si="19"/>
        <v>0.14285714285714285</v>
      </c>
      <c r="J30" s="1084" t="str">
        <f t="shared" si="19"/>
        <v/>
      </c>
      <c r="K30" s="1084" t="str">
        <f t="shared" si="19"/>
        <v/>
      </c>
      <c r="L30" s="1084">
        <f t="shared" si="19"/>
        <v>0.2142857142857143</v>
      </c>
      <c r="M30" s="1084" t="str">
        <f t="shared" ref="M30:N30" si="20">IF(M32&gt;0,M32/$C33,"")</f>
        <v/>
      </c>
      <c r="N30" s="1084">
        <f t="shared" si="20"/>
        <v>0.64285714285714279</v>
      </c>
      <c r="O30" s="1116"/>
      <c r="P30" s="312">
        <f>SUM(E30:N30)</f>
        <v>1</v>
      </c>
    </row>
    <row r="31" spans="1:21" s="311" customFormat="1" ht="15.75" customHeight="1">
      <c r="A31" s="831"/>
      <c r="B31" s="2291"/>
      <c r="C31" s="2294"/>
      <c r="D31" s="1118" t="s">
        <v>285</v>
      </c>
      <c r="E31" s="1031">
        <f>IF(E33&gt;0,E33/$C33,0)</f>
        <v>9.2300409983127288E-2</v>
      </c>
      <c r="F31" s="1031">
        <f>IF(F33&gt;0,F33/$C33,0)</f>
        <v>0.22899962589994</v>
      </c>
      <c r="G31" s="1031">
        <f>IF(G33&gt;0,G33/$C33,0)</f>
        <v>0.28379994044937801</v>
      </c>
      <c r="H31" s="1031">
        <f t="shared" ref="H31:J31" si="21">IF(H33&gt;0,H33/$C33,0)</f>
        <v>0.19220039547720699</v>
      </c>
      <c r="I31" s="1031">
        <f t="shared" si="21"/>
        <v>0.144599598415037</v>
      </c>
      <c r="J31" s="1031">
        <f t="shared" si="21"/>
        <v>5.8100029775310903E-2</v>
      </c>
      <c r="K31" s="1031"/>
      <c r="L31" s="1031"/>
      <c r="M31" s="1031"/>
      <c r="N31" s="1031"/>
      <c r="O31" s="1116"/>
      <c r="P31" s="408">
        <f>SUM(E31:N31)</f>
        <v>1.0000000000000002</v>
      </c>
    </row>
    <row r="32" spans="1:21" s="311" customFormat="1" ht="15.75" customHeight="1">
      <c r="A32" s="831"/>
      <c r="B32" s="2291"/>
      <c r="C32" s="1117" t="s">
        <v>286</v>
      </c>
      <c r="D32" s="1118" t="s">
        <v>287</v>
      </c>
      <c r="E32" s="1085">
        <f t="shared" ref="E32:N32" si="22">VLOOKUP($B30,$D$64:$N$72,E$63+1,FALSE)</f>
        <v>0</v>
      </c>
      <c r="F32" s="1085">
        <f t="shared" si="22"/>
        <v>0</v>
      </c>
      <c r="G32" s="1085">
        <f t="shared" si="22"/>
        <v>0</v>
      </c>
      <c r="H32" s="1085">
        <f t="shared" si="22"/>
        <v>0</v>
      </c>
      <c r="I32" s="1085">
        <f t="shared" si="22"/>
        <v>3384.08</v>
      </c>
      <c r="J32" s="1085">
        <f t="shared" si="22"/>
        <v>0</v>
      </c>
      <c r="K32" s="1085">
        <f t="shared" si="22"/>
        <v>0</v>
      </c>
      <c r="L32" s="1085">
        <f t="shared" si="22"/>
        <v>5076.1200000000008</v>
      </c>
      <c r="M32" s="1085">
        <f t="shared" si="22"/>
        <v>0</v>
      </c>
      <c r="N32" s="1085">
        <f t="shared" si="22"/>
        <v>15228.36</v>
      </c>
      <c r="O32" s="1116"/>
      <c r="P32" s="331">
        <f>SUM(E32:N32)</f>
        <v>23688.560000000001</v>
      </c>
    </row>
    <row r="33" spans="1:17" s="311" customFormat="1" ht="15" customHeight="1">
      <c r="A33" s="831"/>
      <c r="B33" s="2292"/>
      <c r="C33" s="1307">
        <f>'12 - FINANCEIRA'!$G$51</f>
        <v>23688.560000000001</v>
      </c>
      <c r="D33" s="1118" t="s">
        <v>288</v>
      </c>
      <c r="E33" s="1032">
        <f>$C$33*0.0923004099831273</f>
        <v>2186.46379990991</v>
      </c>
      <c r="F33" s="1032">
        <f>$C$33*0.22899962589994</f>
        <v>5424.6713781082826</v>
      </c>
      <c r="G33" s="1032">
        <f>$C$33*0.283799940449378</f>
        <v>6722.8119173315181</v>
      </c>
      <c r="H33" s="1032">
        <f>$C$33*0.192200395477207</f>
        <v>4552.9506002855469</v>
      </c>
      <c r="I33" s="1032">
        <f>$C$33*0.144599598415037</f>
        <v>3425.3562630305091</v>
      </c>
      <c r="J33" s="1032">
        <f>$C$33*0.0581000297753109</f>
        <v>1376.3060413342389</v>
      </c>
      <c r="K33" s="1032"/>
      <c r="L33" s="1032"/>
      <c r="M33" s="1032"/>
      <c r="N33" s="1032"/>
      <c r="O33" s="1116"/>
      <c r="P33" s="331">
        <f>SUM(E33:N33)</f>
        <v>23688.560000000005</v>
      </c>
      <c r="Q33" s="311">
        <f>IF(P33=C33,1,FALSE)</f>
        <v>1</v>
      </c>
    </row>
    <row r="34" spans="1:17" s="311" customFormat="1" ht="5.0999999999999996" customHeight="1">
      <c r="A34" s="831"/>
      <c r="B34" s="313"/>
      <c r="C34" s="313"/>
      <c r="D34" s="1306"/>
      <c r="E34" s="1306"/>
      <c r="F34" s="1306"/>
      <c r="G34" s="1306"/>
      <c r="H34" s="1306"/>
      <c r="I34" s="1306"/>
      <c r="J34" s="1306"/>
      <c r="K34" s="1306"/>
      <c r="L34" s="1306"/>
      <c r="M34" s="1306"/>
      <c r="N34" s="1306"/>
      <c r="O34" s="1116"/>
    </row>
    <row r="35" spans="1:17" s="311" customFormat="1" ht="15.75" customHeight="1">
      <c r="A35" s="831"/>
      <c r="B35" s="2290" t="s">
        <v>488</v>
      </c>
      <c r="C35" s="2293" t="str">
        <f>'12 - FINANCEIRA'!$B$53</f>
        <v>OBRAS COMPLEMENTARES</v>
      </c>
      <c r="D35" s="1118" t="s">
        <v>284</v>
      </c>
      <c r="E35" s="1084" t="str">
        <f>IF(E37&gt;0,E37/$C38,"")</f>
        <v/>
      </c>
      <c r="F35" s="1084" t="str">
        <f t="shared" ref="F35:J35" si="23">IF(F37&gt;0,F37/$C38,"")</f>
        <v/>
      </c>
      <c r="G35" s="1084">
        <f t="shared" si="23"/>
        <v>5.7040270183062305E-2</v>
      </c>
      <c r="H35" s="1084" t="str">
        <f t="shared" si="23"/>
        <v/>
      </c>
      <c r="I35" s="1084" t="str">
        <f t="shared" si="23"/>
        <v/>
      </c>
      <c r="J35" s="1084">
        <f t="shared" si="23"/>
        <v>0.32965999695512649</v>
      </c>
      <c r="K35" s="1084">
        <f t="shared" ref="K35:L35" si="24">IF(K37&gt;0,K37/$C38,"")</f>
        <v>0.30653982524475837</v>
      </c>
      <c r="L35" s="1084" t="str">
        <f t="shared" si="24"/>
        <v/>
      </c>
      <c r="M35" s="1084" t="str">
        <f t="shared" ref="M35:N35" si="25">IF(M37&gt;0,M37/$C38,"")</f>
        <v/>
      </c>
      <c r="N35" s="1084">
        <f t="shared" si="25"/>
        <v>0.280785970332663</v>
      </c>
      <c r="O35" s="1116"/>
      <c r="P35" s="312">
        <f>SUM(E35:N35)</f>
        <v>0.9740260627156101</v>
      </c>
    </row>
    <row r="36" spans="1:17" s="311" customFormat="1" ht="15.75" customHeight="1">
      <c r="A36" s="831"/>
      <c r="B36" s="2291"/>
      <c r="C36" s="2294"/>
      <c r="D36" s="1118" t="s">
        <v>285</v>
      </c>
      <c r="E36" s="1031"/>
      <c r="F36" s="1031"/>
      <c r="G36" s="1031"/>
      <c r="H36" s="1031"/>
      <c r="I36" s="1031">
        <f t="shared" ref="I36:J36" si="26">IF(I38&gt;0,I38/$C38,0)</f>
        <v>0.5</v>
      </c>
      <c r="J36" s="1031">
        <f t="shared" si="26"/>
        <v>0.5</v>
      </c>
      <c r="K36" s="1031"/>
      <c r="L36" s="1031"/>
      <c r="M36" s="1031"/>
      <c r="N36" s="1031"/>
      <c r="O36" s="1116"/>
      <c r="P36" s="408">
        <f>SUM(E36:N36)</f>
        <v>1</v>
      </c>
    </row>
    <row r="37" spans="1:17" s="311" customFormat="1" ht="15.75" customHeight="1">
      <c r="A37" s="831"/>
      <c r="B37" s="2291"/>
      <c r="C37" s="1117" t="s">
        <v>286</v>
      </c>
      <c r="D37" s="1118" t="s">
        <v>287</v>
      </c>
      <c r="E37" s="1085">
        <f t="shared" ref="E37:N37" si="27">VLOOKUP($B35,$D$64:$N$72,E$63+1,FALSE)</f>
        <v>0</v>
      </c>
      <c r="F37" s="1085">
        <f t="shared" si="27"/>
        <v>0</v>
      </c>
      <c r="G37" s="1085">
        <f t="shared" si="27"/>
        <v>8373.41</v>
      </c>
      <c r="H37" s="1085">
        <f t="shared" si="27"/>
        <v>0</v>
      </c>
      <c r="I37" s="1085">
        <f t="shared" si="27"/>
        <v>0</v>
      </c>
      <c r="J37" s="1085">
        <f t="shared" si="27"/>
        <v>48393.5</v>
      </c>
      <c r="K37" s="1085">
        <f t="shared" si="27"/>
        <v>44999.5</v>
      </c>
      <c r="L37" s="1085">
        <f t="shared" si="27"/>
        <v>0</v>
      </c>
      <c r="M37" s="1085">
        <f t="shared" si="27"/>
        <v>0</v>
      </c>
      <c r="N37" s="1085">
        <f t="shared" si="27"/>
        <v>41218.880000000005</v>
      </c>
      <c r="O37" s="1116"/>
      <c r="P37" s="331">
        <f>SUM(E37:N37)</f>
        <v>142985.29</v>
      </c>
    </row>
    <row r="38" spans="1:17" s="311" customFormat="1" ht="15.75" customHeight="1">
      <c r="A38" s="831"/>
      <c r="B38" s="2292"/>
      <c r="C38" s="1307">
        <f>'12 - FINANCEIRA'!$G$53</f>
        <v>146798.21770000001</v>
      </c>
      <c r="D38" s="1118" t="s">
        <v>288</v>
      </c>
      <c r="E38" s="1032"/>
      <c r="F38" s="1032"/>
      <c r="G38" s="1032"/>
      <c r="H38" s="1032"/>
      <c r="I38" s="1032">
        <f>$C$38*0.5</f>
        <v>73399.108850000004</v>
      </c>
      <c r="J38" s="1032">
        <f>$C$38*0.5</f>
        <v>73399.108850000004</v>
      </c>
      <c r="K38" s="1032"/>
      <c r="L38" s="1032"/>
      <c r="M38" s="1032"/>
      <c r="N38" s="1032"/>
      <c r="O38" s="1116"/>
      <c r="P38" s="331">
        <f>SUM(E38:N38)</f>
        <v>146798.21770000001</v>
      </c>
      <c r="Q38" s="311">
        <f>IF(P38=C38,1,FALSE)</f>
        <v>1</v>
      </c>
    </row>
    <row r="39" spans="1:17" s="311" customFormat="1" ht="5.0999999999999996" customHeight="1">
      <c r="A39" s="831"/>
      <c r="B39" s="313"/>
      <c r="C39" s="313"/>
      <c r="D39" s="1306"/>
      <c r="E39" s="1306"/>
      <c r="F39" s="1306"/>
      <c r="G39" s="1306"/>
      <c r="H39" s="1306"/>
      <c r="I39" s="1306"/>
      <c r="J39" s="1306"/>
      <c r="K39" s="1306"/>
      <c r="L39" s="1306"/>
      <c r="M39" s="1306"/>
      <c r="N39" s="1306"/>
      <c r="O39" s="1116"/>
    </row>
    <row r="40" spans="1:17" s="311" customFormat="1" ht="15.75">
      <c r="A40" s="831"/>
      <c r="B40" s="2290" t="s">
        <v>492</v>
      </c>
      <c r="C40" s="2293" t="str">
        <f>'12 - FINANCEIRA'!$B$58</f>
        <v>ESTRUTURA</v>
      </c>
      <c r="D40" s="1118" t="s">
        <v>284</v>
      </c>
      <c r="E40" s="1084" t="str">
        <f t="shared" ref="E40:J40" si="28">IF(E42&gt;0,E42/$C43,"")</f>
        <v/>
      </c>
      <c r="F40" s="1084" t="str">
        <f t="shared" si="28"/>
        <v/>
      </c>
      <c r="G40" s="1084">
        <f t="shared" si="28"/>
        <v>0.16844059403744732</v>
      </c>
      <c r="H40" s="1084">
        <f t="shared" si="28"/>
        <v>0.13453041440918134</v>
      </c>
      <c r="I40" s="1084">
        <f t="shared" si="28"/>
        <v>0.14335428340858863</v>
      </c>
      <c r="J40" s="1084">
        <f t="shared" si="28"/>
        <v>0.15009108137914187</v>
      </c>
      <c r="K40" s="1084">
        <f t="shared" ref="K40:L40" si="29">IF(K42&gt;0,K42/$C43,"")</f>
        <v>0.12085868094932767</v>
      </c>
      <c r="L40" s="1084">
        <f t="shared" si="29"/>
        <v>0.10465587040280162</v>
      </c>
      <c r="M40" s="1084">
        <f t="shared" ref="M40:N40" si="30">IF(M42&gt;0,M42/$C43,"")</f>
        <v>2.8254545161648454E-2</v>
      </c>
      <c r="N40" s="1084">
        <f t="shared" si="30"/>
        <v>5.6827544604013569E-2</v>
      </c>
      <c r="O40" s="1116"/>
      <c r="P40" s="312">
        <f>SUM(E40:N40)</f>
        <v>0.90701301435215043</v>
      </c>
    </row>
    <row r="41" spans="1:17" s="311" customFormat="1" ht="15.75">
      <c r="A41" s="831"/>
      <c r="B41" s="2291"/>
      <c r="C41" s="2294"/>
      <c r="D41" s="1118" t="s">
        <v>285</v>
      </c>
      <c r="E41" s="1031">
        <f>IF(E43&gt;0,E43/$C43,0)</f>
        <v>2.0700479623108402E-3</v>
      </c>
      <c r="F41" s="1031">
        <f>IF(F43&gt;0,F43/$C43,0)</f>
        <v>3.0784693441522999E-3</v>
      </c>
      <c r="G41" s="1031">
        <f>IF(G43&gt;0,G43/$C43,0)</f>
        <v>1.8049296343762198E-3</v>
      </c>
      <c r="H41" s="1031">
        <f t="shared" ref="H41:J41" si="31">IF(H43&gt;0,H43/$C43,0)</f>
        <v>9.35578579545387E-4</v>
      </c>
      <c r="I41" s="1031">
        <f t="shared" si="31"/>
        <v>8.8054737209352805E-4</v>
      </c>
      <c r="J41" s="1031">
        <f t="shared" si="31"/>
        <v>0.99123042710752196</v>
      </c>
      <c r="K41" s="1031"/>
      <c r="L41" s="1031"/>
      <c r="M41" s="1031"/>
      <c r="N41" s="1031"/>
      <c r="O41" s="1116"/>
      <c r="P41" s="408">
        <f>SUM(E41:N41)</f>
        <v>1.0000000000000002</v>
      </c>
    </row>
    <row r="42" spans="1:17" s="311" customFormat="1" ht="15.75">
      <c r="A42" s="831"/>
      <c r="B42" s="2291"/>
      <c r="C42" s="1117" t="s">
        <v>286</v>
      </c>
      <c r="D42" s="1118" t="s">
        <v>287</v>
      </c>
      <c r="E42" s="1085">
        <f>VLOOKUP($B40,$D$64:$H$70,E$63+1,FALSE)</f>
        <v>0</v>
      </c>
      <c r="F42" s="1085">
        <f>VLOOKUP($B40,$D$64:$H$70,F$63+1,FALSE)</f>
        <v>0</v>
      </c>
      <c r="G42" s="1085">
        <f>VLOOKUP($B40,$D$64:$N$70,G$63+1,FALSE)</f>
        <v>399301.18999999994</v>
      </c>
      <c r="H42" s="1085">
        <f t="shared" ref="H42:J42" si="32">VLOOKUP($B40,$D$64:$N$70,H$63+1,FALSE)</f>
        <v>318914.53999999998</v>
      </c>
      <c r="I42" s="1085">
        <f t="shared" si="32"/>
        <v>339832.19000000012</v>
      </c>
      <c r="J42" s="1085">
        <f t="shared" si="32"/>
        <v>355802.28000000009</v>
      </c>
      <c r="K42" s="1085">
        <f>VLOOKUP($B40,$D$64:$N$72,K$63+1,FALSE)</f>
        <v>286504.65999999992</v>
      </c>
      <c r="L42" s="1085">
        <f t="shared" ref="L42:N42" si="33">VLOOKUP($B40,$D$64:$N$72,L$63+1,FALSE)</f>
        <v>248094.67</v>
      </c>
      <c r="M42" s="1085">
        <f t="shared" si="33"/>
        <v>66979.540000000023</v>
      </c>
      <c r="N42" s="1085">
        <f t="shared" si="33"/>
        <v>134714.00000000009</v>
      </c>
      <c r="O42" s="1116"/>
      <c r="P42" s="331">
        <f>SUM(E42:N42)</f>
        <v>2150143.0700000003</v>
      </c>
    </row>
    <row r="43" spans="1:17" s="311" customFormat="1" ht="15.75">
      <c r="A43" s="831"/>
      <c r="B43" s="2292"/>
      <c r="C43" s="1307">
        <f>'12 - FINANCEIRA'!$G$58</f>
        <v>2370575.7646000003</v>
      </c>
      <c r="D43" s="1118" t="s">
        <v>288</v>
      </c>
      <c r="E43" s="1032">
        <f>$C$43*0.00207004796231084</f>
        <v>4907.205531013693</v>
      </c>
      <c r="F43" s="1032">
        <f>$C$43*0.0030784693441523</f>
        <v>7297.7448193114997</v>
      </c>
      <c r="G43" s="1032">
        <f>$C$43*0.00180492963437622</f>
        <v>4278.7224480606064</v>
      </c>
      <c r="H43" s="1032">
        <f>$C$43*0.000935578579545387</f>
        <v>2217.8599065491881</v>
      </c>
      <c r="I43" s="1032">
        <f>$C$43*0.000880547372093528</f>
        <v>2087.4042598671363</v>
      </c>
      <c r="J43" s="1032">
        <f>$C$43*0.991230427107522</f>
        <v>2349786.8276351988</v>
      </c>
      <c r="K43" s="1032"/>
      <c r="L43" s="1032"/>
      <c r="M43" s="1032"/>
      <c r="N43" s="1032"/>
      <c r="O43" s="1116"/>
      <c r="P43" s="331">
        <f>SUM(E43:N43)</f>
        <v>2370575.7646000008</v>
      </c>
      <c r="Q43" s="311">
        <f>IF(P43=C43,1,FALSE)</f>
        <v>1</v>
      </c>
    </row>
    <row r="44" spans="1:17" s="311" customFormat="1" ht="5.0999999999999996" customHeight="1">
      <c r="A44" s="831"/>
      <c r="B44" s="313"/>
      <c r="C44" s="313"/>
      <c r="D44" s="1306"/>
      <c r="E44" s="1306"/>
      <c r="F44" s="1306"/>
      <c r="G44" s="1306"/>
      <c r="H44" s="1306"/>
      <c r="I44" s="1306"/>
      <c r="J44" s="1306"/>
      <c r="K44" s="1306"/>
      <c r="L44" s="1306"/>
      <c r="M44" s="1306"/>
      <c r="N44" s="1306"/>
      <c r="O44" s="1116"/>
    </row>
    <row r="45" spans="1:17" s="311" customFormat="1" ht="15.75">
      <c r="A45" s="831"/>
      <c r="B45" s="2290" t="s">
        <v>948</v>
      </c>
      <c r="C45" s="2293" t="str">
        <f>'12 - FINANCEIRA'!B74</f>
        <v>IMPLANTAÇÃO DO CANTEIRO DE OBRAS</v>
      </c>
      <c r="D45" s="1118" t="s">
        <v>284</v>
      </c>
      <c r="E45" s="1084" t="str">
        <f t="shared" ref="E45:N45" si="34">IF(E47&gt;0,E47/$C48,"")</f>
        <v/>
      </c>
      <c r="F45" s="1084" t="str">
        <f t="shared" si="34"/>
        <v/>
      </c>
      <c r="G45" s="1084" t="str">
        <f t="shared" si="34"/>
        <v/>
      </c>
      <c r="H45" s="1084" t="str">
        <f t="shared" si="34"/>
        <v/>
      </c>
      <c r="I45" s="1084" t="str">
        <f t="shared" si="34"/>
        <v/>
      </c>
      <c r="J45" s="1084" t="str">
        <f t="shared" si="34"/>
        <v/>
      </c>
      <c r="K45" s="1084" t="str">
        <f t="shared" si="34"/>
        <v/>
      </c>
      <c r="L45" s="1084" t="str">
        <f t="shared" si="34"/>
        <v/>
      </c>
      <c r="M45" s="1084" t="str">
        <f t="shared" si="34"/>
        <v/>
      </c>
      <c r="N45" s="1084">
        <f t="shared" si="34"/>
        <v>1</v>
      </c>
      <c r="O45" s="1116"/>
      <c r="P45" s="312">
        <f>SUM(E45:N45)</f>
        <v>1</v>
      </c>
    </row>
    <row r="46" spans="1:17" s="311" customFormat="1" ht="15.75">
      <c r="A46" s="831"/>
      <c r="B46" s="2291"/>
      <c r="C46" s="2294"/>
      <c r="D46" s="1118" t="s">
        <v>285</v>
      </c>
      <c r="E46" s="1031">
        <f>IF(E48&gt;0,E48/$C48,0)</f>
        <v>0</v>
      </c>
      <c r="F46" s="1031">
        <f>IF(F48&gt;0,F48/$C48,0)</f>
        <v>0</v>
      </c>
      <c r="G46" s="1031">
        <f>IF(G48&gt;0,G48/$C48,0)</f>
        <v>0</v>
      </c>
      <c r="H46" s="1031">
        <f t="shared" ref="H46:J46" si="35">IF(H48&gt;0,H48/$C48,0)</f>
        <v>0</v>
      </c>
      <c r="I46" s="1031">
        <f t="shared" si="35"/>
        <v>0</v>
      </c>
      <c r="J46" s="1031">
        <f t="shared" si="35"/>
        <v>0</v>
      </c>
      <c r="K46" s="1031"/>
      <c r="L46" s="1031"/>
      <c r="M46" s="1031"/>
      <c r="N46" s="1031"/>
      <c r="O46" s="1116"/>
      <c r="P46" s="408">
        <f>SUM(E46:N46)</f>
        <v>0</v>
      </c>
    </row>
    <row r="47" spans="1:17" s="311" customFormat="1" ht="15.75">
      <c r="A47" s="831"/>
      <c r="B47" s="2291"/>
      <c r="C47" s="1117" t="s">
        <v>286</v>
      </c>
      <c r="D47" s="1118" t="s">
        <v>287</v>
      </c>
      <c r="E47" s="1085">
        <f t="shared" ref="E47:N47" si="36">VLOOKUP($B45,$D$64:$N$72,E$63+1,FALSE)</f>
        <v>0</v>
      </c>
      <c r="F47" s="1085">
        <f t="shared" si="36"/>
        <v>0</v>
      </c>
      <c r="G47" s="1085">
        <f t="shared" si="36"/>
        <v>0</v>
      </c>
      <c r="H47" s="1085">
        <f t="shared" si="36"/>
        <v>0</v>
      </c>
      <c r="I47" s="1085">
        <f t="shared" si="36"/>
        <v>0</v>
      </c>
      <c r="J47" s="1085">
        <f t="shared" si="36"/>
        <v>0</v>
      </c>
      <c r="K47" s="1085">
        <f t="shared" si="36"/>
        <v>0</v>
      </c>
      <c r="L47" s="1085">
        <f t="shared" si="36"/>
        <v>0</v>
      </c>
      <c r="M47" s="1085">
        <f t="shared" si="36"/>
        <v>0</v>
      </c>
      <c r="N47" s="1085">
        <f t="shared" si="36"/>
        <v>6102.62</v>
      </c>
      <c r="O47" s="1116"/>
      <c r="P47" s="331">
        <f>SUM(E47:N47)</f>
        <v>6102.62</v>
      </c>
    </row>
    <row r="48" spans="1:17" s="311" customFormat="1" ht="15.75">
      <c r="A48" s="831"/>
      <c r="B48" s="2292"/>
      <c r="C48" s="1307">
        <f>'12 - FINANCEIRA'!G74</f>
        <v>6102.62</v>
      </c>
      <c r="D48" s="1118" t="s">
        <v>288</v>
      </c>
      <c r="E48" s="1032"/>
      <c r="F48" s="1032"/>
      <c r="G48" s="1032"/>
      <c r="H48" s="1032"/>
      <c r="I48" s="1032"/>
      <c r="J48" s="1032"/>
      <c r="K48" s="1032"/>
      <c r="L48" s="1032"/>
      <c r="M48" s="1032">
        <f>C48</f>
        <v>6102.62</v>
      </c>
      <c r="N48" s="1032"/>
      <c r="O48" s="1116"/>
      <c r="P48" s="331">
        <f>SUM(E48:N48)</f>
        <v>6102.62</v>
      </c>
      <c r="Q48" s="311">
        <f>IF(P48=C48,1,FALSE)</f>
        <v>1</v>
      </c>
    </row>
    <row r="49" spans="1:35" s="311" customFormat="1" ht="5.0999999999999996" customHeight="1">
      <c r="A49" s="831"/>
      <c r="B49" s="313"/>
      <c r="C49" s="313"/>
      <c r="D49" s="1306"/>
      <c r="E49" s="1306"/>
      <c r="F49" s="1306"/>
      <c r="G49" s="1306"/>
      <c r="H49" s="1306"/>
      <c r="I49" s="1306"/>
      <c r="J49" s="1306"/>
      <c r="K49" s="1306"/>
      <c r="L49" s="1306"/>
      <c r="M49" s="1306"/>
      <c r="N49" s="1306"/>
      <c r="O49" s="1116"/>
    </row>
    <row r="50" spans="1:35" s="311" customFormat="1" ht="15.75">
      <c r="A50" s="831"/>
      <c r="B50" s="2290" t="s">
        <v>951</v>
      </c>
      <c r="C50" s="2293" t="str">
        <f>'12 - FINANCEIRA'!B76</f>
        <v>GALERIA GUARANHUS 1 E 2</v>
      </c>
      <c r="D50" s="1118" t="s">
        <v>284</v>
      </c>
      <c r="E50" s="1084" t="str">
        <f t="shared" ref="E50:N50" si="37">IF(E52&gt;0,E52/$C53,"")</f>
        <v/>
      </c>
      <c r="F50" s="1084" t="str">
        <f t="shared" si="37"/>
        <v/>
      </c>
      <c r="G50" s="1084" t="str">
        <f t="shared" si="37"/>
        <v/>
      </c>
      <c r="H50" s="1084" t="str">
        <f t="shared" si="37"/>
        <v/>
      </c>
      <c r="I50" s="1084" t="str">
        <f t="shared" si="37"/>
        <v/>
      </c>
      <c r="J50" s="1084" t="str">
        <f t="shared" si="37"/>
        <v/>
      </c>
      <c r="K50" s="1084" t="str">
        <f t="shared" si="37"/>
        <v/>
      </c>
      <c r="L50" s="1084" t="str">
        <f t="shared" si="37"/>
        <v/>
      </c>
      <c r="M50" s="1084" t="str">
        <f t="shared" si="37"/>
        <v/>
      </c>
      <c r="N50" s="1084">
        <f t="shared" si="37"/>
        <v>0.97974100438682687</v>
      </c>
      <c r="O50" s="1116"/>
      <c r="P50" s="312">
        <f>SUM(E50:N50)</f>
        <v>0.97974100438682687</v>
      </c>
    </row>
    <row r="51" spans="1:35" s="311" customFormat="1" ht="15.75">
      <c r="A51" s="831"/>
      <c r="B51" s="2291"/>
      <c r="C51" s="2294"/>
      <c r="D51" s="1118" t="s">
        <v>285</v>
      </c>
      <c r="E51" s="1031">
        <f>IF(E53&gt;0,E53/$C53,0)</f>
        <v>0</v>
      </c>
      <c r="F51" s="1031">
        <f>IF(F53&gt;0,F53/$C53,0)</f>
        <v>0</v>
      </c>
      <c r="G51" s="1031">
        <f>IF(G53&gt;0,G53/$C53,0)</f>
        <v>0</v>
      </c>
      <c r="H51" s="1031">
        <f t="shared" ref="H51:J51" si="38">IF(H53&gt;0,H53/$C53,0)</f>
        <v>0</v>
      </c>
      <c r="I51" s="1031">
        <f t="shared" si="38"/>
        <v>0</v>
      </c>
      <c r="J51" s="1031">
        <f t="shared" si="38"/>
        <v>0.50883846492147755</v>
      </c>
      <c r="K51" s="1031"/>
      <c r="L51" s="1031"/>
      <c r="M51" s="1031"/>
      <c r="N51" s="1031"/>
      <c r="O51" s="1116"/>
      <c r="P51" s="408">
        <f>SUM(E51:N51)</f>
        <v>0.50883846492147755</v>
      </c>
    </row>
    <row r="52" spans="1:35" s="311" customFormat="1" ht="15.75">
      <c r="A52" s="831"/>
      <c r="B52" s="2291"/>
      <c r="C52" s="1117" t="s">
        <v>286</v>
      </c>
      <c r="D52" s="1118" t="s">
        <v>287</v>
      </c>
      <c r="E52" s="1085">
        <f t="shared" ref="E52:N52" si="39">VLOOKUP($B50,$D$64:$N$72,E$63+1,FALSE)</f>
        <v>0</v>
      </c>
      <c r="F52" s="1085">
        <f t="shared" si="39"/>
        <v>0</v>
      </c>
      <c r="G52" s="1085">
        <f t="shared" si="39"/>
        <v>0</v>
      </c>
      <c r="H52" s="1085">
        <f t="shared" si="39"/>
        <v>0</v>
      </c>
      <c r="I52" s="1085">
        <f t="shared" si="39"/>
        <v>0</v>
      </c>
      <c r="J52" s="1085">
        <f t="shared" si="39"/>
        <v>0</v>
      </c>
      <c r="K52" s="1085">
        <f t="shared" si="39"/>
        <v>0</v>
      </c>
      <c r="L52" s="1085">
        <f t="shared" si="39"/>
        <v>0</v>
      </c>
      <c r="M52" s="1085">
        <f t="shared" si="39"/>
        <v>0</v>
      </c>
      <c r="N52" s="1085">
        <f t="shared" si="39"/>
        <v>338237.29000000004</v>
      </c>
      <c r="O52" s="1116"/>
      <c r="P52" s="331">
        <f>SUM(E52:N52)</f>
        <v>338237.29000000004</v>
      </c>
    </row>
    <row r="53" spans="1:35" s="311" customFormat="1" ht="15.75">
      <c r="A53" s="831"/>
      <c r="B53" s="2292"/>
      <c r="C53" s="1307">
        <f>'12 - FINANCEIRA'!G76</f>
        <v>345231.32999999996</v>
      </c>
      <c r="D53" s="1118" t="s">
        <v>288</v>
      </c>
      <c r="E53" s="1032"/>
      <c r="F53" s="1032"/>
      <c r="G53" s="1032"/>
      <c r="H53" s="1032"/>
      <c r="I53" s="1032"/>
      <c r="J53" s="1032">
        <v>175666.98</v>
      </c>
      <c r="K53" s="1032">
        <v>52700.09</v>
      </c>
      <c r="L53" s="1032">
        <v>52700.09</v>
      </c>
      <c r="M53" s="1032">
        <v>64164.169999999991</v>
      </c>
      <c r="N53" s="1032"/>
      <c r="O53" s="1116"/>
      <c r="P53" s="331">
        <f>SUM(E53:N53)</f>
        <v>345231.33</v>
      </c>
      <c r="Q53" s="311">
        <f>IF(P53=C53,1,FALSE)</f>
        <v>1</v>
      </c>
      <c r="R53" s="1926"/>
    </row>
    <row r="54" spans="1:35" s="311" customFormat="1" ht="5.0999999999999996" customHeight="1">
      <c r="A54" s="831"/>
      <c r="B54" s="313"/>
      <c r="C54" s="313"/>
      <c r="D54" s="1306"/>
      <c r="E54" s="1306"/>
      <c r="F54" s="1306"/>
      <c r="G54" s="1306"/>
      <c r="H54" s="1306"/>
      <c r="I54" s="1306"/>
      <c r="J54" s="1306"/>
      <c r="K54" s="1306"/>
      <c r="L54" s="1306"/>
      <c r="M54" s="1306"/>
      <c r="N54" s="1306"/>
      <c r="O54" s="1116"/>
    </row>
    <row r="55" spans="1:35" s="311" customFormat="1" ht="16.5" customHeight="1">
      <c r="A55" s="831"/>
      <c r="B55" s="398"/>
      <c r="C55" s="398" t="s">
        <v>3</v>
      </c>
      <c r="D55" s="1308"/>
      <c r="E55" s="1309"/>
      <c r="F55" s="1309"/>
      <c r="G55" s="1309"/>
      <c r="H55" s="1310"/>
      <c r="I55" s="1310"/>
      <c r="J55" s="1310"/>
      <c r="K55" s="1310"/>
      <c r="L55" s="1030"/>
      <c r="M55" s="1030"/>
      <c r="N55" s="1030"/>
      <c r="O55" s="1116"/>
    </row>
    <row r="56" spans="1:35" s="311" customFormat="1" ht="15.75">
      <c r="A56" s="831"/>
      <c r="B56" s="2298" t="s">
        <v>289</v>
      </c>
      <c r="C56" s="2301" t="s">
        <v>3</v>
      </c>
      <c r="D56" s="1118" t="s">
        <v>284</v>
      </c>
      <c r="E56" s="1084">
        <f t="shared" ref="E56:J56" si="40">IF(E58&gt;0,E58/$C59,0)</f>
        <v>0</v>
      </c>
      <c r="F56" s="1084">
        <f t="shared" si="40"/>
        <v>0</v>
      </c>
      <c r="G56" s="1084">
        <f t="shared" si="40"/>
        <v>0.13931342481856979</v>
      </c>
      <c r="H56" s="1084">
        <f t="shared" si="40"/>
        <v>9.592965927867747E-2</v>
      </c>
      <c r="I56" s="1084">
        <f t="shared" si="40"/>
        <v>0.11102898510293562</v>
      </c>
      <c r="J56" s="1084">
        <f t="shared" si="40"/>
        <v>0.11975978030849627</v>
      </c>
      <c r="K56" s="1084">
        <f t="shared" ref="K56:M56" si="41">IF(K58&gt;0,K58/$C59,0)</f>
        <v>9.888370262270163E-2</v>
      </c>
      <c r="L56" s="1084">
        <f t="shared" si="41"/>
        <v>7.9910718972199118E-2</v>
      </c>
      <c r="M56" s="1084">
        <f t="shared" si="41"/>
        <v>1.9518879327696578E-2</v>
      </c>
      <c r="N56" s="1084">
        <f t="shared" ref="N56" si="42">IF(N58&gt;0,N58/$C59,0)</f>
        <v>0.22270875254326064</v>
      </c>
      <c r="O56" s="1116"/>
      <c r="P56" s="312">
        <f>SUM(E56:N56)</f>
        <v>0.88705390297453712</v>
      </c>
      <c r="R56" s="312"/>
      <c r="AC56" s="2296" t="s">
        <v>290</v>
      </c>
      <c r="AD56" s="2296"/>
      <c r="AE56" s="2296"/>
      <c r="AF56" s="2296"/>
      <c r="AG56" s="2296"/>
      <c r="AH56" s="2296"/>
    </row>
    <row r="57" spans="1:35" s="311" customFormat="1" ht="15.75">
      <c r="A57" s="831"/>
      <c r="B57" s="2299"/>
      <c r="C57" s="2302"/>
      <c r="D57" s="1118" t="s">
        <v>285</v>
      </c>
      <c r="E57" s="1031">
        <f t="shared" ref="E57:M57" si="43">IF(E59&gt;0,E59/$C59,0)</f>
        <v>1.8670335695632798E-2</v>
      </c>
      <c r="F57" s="1031">
        <f t="shared" si="43"/>
        <v>2.042569370544654E-2</v>
      </c>
      <c r="G57" s="1031">
        <f t="shared" si="43"/>
        <v>1.2127080092351182E-2</v>
      </c>
      <c r="H57" s="1031">
        <f t="shared" si="43"/>
        <v>5.1946835217021184E-3</v>
      </c>
      <c r="I57" s="1031">
        <f t="shared" si="43"/>
        <v>2.2881133024702099E-2</v>
      </c>
      <c r="J57" s="1031">
        <f t="shared" si="43"/>
        <v>0.87217815762723183</v>
      </c>
      <c r="K57" s="1031">
        <f t="shared" si="43"/>
        <v>1.4556874623659025E-2</v>
      </c>
      <c r="L57" s="1031">
        <f t="shared" si="43"/>
        <v>1.4556874623659025E-2</v>
      </c>
      <c r="M57" s="1031">
        <f t="shared" si="43"/>
        <v>1.9409167085615561E-2</v>
      </c>
      <c r="N57" s="1031"/>
      <c r="O57" s="1116"/>
      <c r="P57" s="1927">
        <f>SUM(E57:N57)</f>
        <v>1.0000000000000002</v>
      </c>
      <c r="AC57" s="2296"/>
      <c r="AD57" s="2296"/>
      <c r="AE57" s="2296"/>
      <c r="AF57" s="2296"/>
      <c r="AG57" s="2296"/>
      <c r="AH57" s="2296"/>
    </row>
    <row r="58" spans="1:35" s="311" customFormat="1" ht="15.75">
      <c r="A58" s="831"/>
      <c r="B58" s="2299"/>
      <c r="C58" s="1117" t="s">
        <v>286</v>
      </c>
      <c r="D58" s="1118" t="s">
        <v>287</v>
      </c>
      <c r="E58" s="1085">
        <f t="shared" ref="E58:M58" si="44">E22+E17+E12+E27+E32+E37+E42+E47+E52</f>
        <v>0</v>
      </c>
      <c r="F58" s="1085">
        <f t="shared" si="44"/>
        <v>0</v>
      </c>
      <c r="G58" s="1085">
        <f t="shared" si="44"/>
        <v>504354.82999999996</v>
      </c>
      <c r="H58" s="1085">
        <f t="shared" si="44"/>
        <v>347293.07</v>
      </c>
      <c r="I58" s="1085">
        <f t="shared" si="44"/>
        <v>401956.99000000011</v>
      </c>
      <c r="J58" s="1085">
        <f t="shared" si="44"/>
        <v>433564.99000000011</v>
      </c>
      <c r="K58" s="1085">
        <f t="shared" si="44"/>
        <v>357987.55999999994</v>
      </c>
      <c r="L58" s="1085">
        <f t="shared" si="44"/>
        <v>289299.88</v>
      </c>
      <c r="M58" s="1085">
        <f t="shared" si="44"/>
        <v>70663.98000000001</v>
      </c>
      <c r="N58" s="1085">
        <f>N22+N17+N12+N27+N32+N37+N42+N47+N52</f>
        <v>806270.00000000012</v>
      </c>
      <c r="O58" s="1116"/>
      <c r="P58" s="331">
        <f>SUM(E58:N58)</f>
        <v>3211391.3000000003</v>
      </c>
      <c r="AC58" s="2296"/>
      <c r="AD58" s="2296"/>
      <c r="AE58" s="2296"/>
      <c r="AF58" s="2296"/>
      <c r="AG58" s="2296"/>
      <c r="AH58" s="2296"/>
    </row>
    <row r="59" spans="1:35" s="311" customFormat="1" ht="15.75">
      <c r="A59" s="831"/>
      <c r="B59" s="2300"/>
      <c r="C59" s="1311">
        <f>C13+C18+C23+C28+C33+C38+C43+C48+C53</f>
        <v>3620288.7888000007</v>
      </c>
      <c r="D59" s="1118" t="s">
        <v>288</v>
      </c>
      <c r="E59" s="920">
        <f>E23+E18+E13+E43+E28+E33+E38+E48+E53</f>
        <v>67592.007002031882</v>
      </c>
      <c r="F59" s="920">
        <f t="shared" ref="F59:M59" si="45">F23+F18+F13+F43+F28+F33+F38+F48+F53</f>
        <v>73946.909925290849</v>
      </c>
      <c r="G59" s="920">
        <f t="shared" si="45"/>
        <v>43903.532099218661</v>
      </c>
      <c r="H59" s="920">
        <f t="shared" si="45"/>
        <v>18806.254514982284</v>
      </c>
      <c r="I59" s="920">
        <f t="shared" si="45"/>
        <v>82836.309364370463</v>
      </c>
      <c r="J59" s="920">
        <f t="shared" si="45"/>
        <v>3157536.8058941071</v>
      </c>
      <c r="K59" s="920">
        <f t="shared" si="45"/>
        <v>52700.09</v>
      </c>
      <c r="L59" s="920">
        <f t="shared" si="45"/>
        <v>52700.09</v>
      </c>
      <c r="M59" s="920">
        <f t="shared" si="45"/>
        <v>70266.789999999994</v>
      </c>
      <c r="N59" s="920">
        <f>N23+N18+N13+N43+N28+N33+N38+N48+N53</f>
        <v>0</v>
      </c>
      <c r="O59" s="1116"/>
      <c r="P59" s="331">
        <f>SUM(E59:N59)</f>
        <v>3620288.7888000011</v>
      </c>
      <c r="Q59" s="1783">
        <f>IF(P59=C59,1,FALSE)</f>
        <v>1</v>
      </c>
      <c r="R59" s="314">
        <f>C59-P59</f>
        <v>0</v>
      </c>
      <c r="AB59" s="2297" t="s">
        <v>291</v>
      </c>
      <c r="AC59" s="2297"/>
      <c r="AD59" s="2297"/>
      <c r="AE59" s="2297"/>
      <c r="AF59" s="2297"/>
      <c r="AG59" s="2297"/>
      <c r="AH59" s="2297"/>
      <c r="AI59" s="2297"/>
    </row>
    <row r="60" spans="1:35" s="311" customFormat="1" ht="15" customHeight="1">
      <c r="A60" s="1312"/>
      <c r="B60" s="418"/>
      <c r="C60" s="419"/>
      <c r="D60" s="419"/>
      <c r="E60" s="420"/>
      <c r="F60" s="420"/>
      <c r="G60" s="420"/>
      <c r="H60" s="420"/>
      <c r="I60" s="420"/>
      <c r="J60" s="420"/>
      <c r="K60" s="420"/>
      <c r="L60" s="1471"/>
      <c r="M60" s="1471"/>
      <c r="N60" s="1471"/>
      <c r="O60" s="1313"/>
      <c r="P60" s="315"/>
      <c r="AB60" s="2297"/>
      <c r="AC60" s="2297"/>
      <c r="AD60" s="2297"/>
      <c r="AE60" s="2297"/>
      <c r="AF60" s="2297"/>
      <c r="AG60" s="2297"/>
      <c r="AH60" s="2297"/>
      <c r="AI60" s="2297"/>
    </row>
    <row r="61" spans="1:35" ht="7.5" customHeight="1">
      <c r="AB61" s="2297"/>
      <c r="AC61" s="2297"/>
      <c r="AD61" s="2297"/>
      <c r="AE61" s="2297"/>
      <c r="AF61" s="2297"/>
      <c r="AG61" s="2297"/>
      <c r="AH61" s="2297"/>
      <c r="AI61" s="2297"/>
    </row>
    <row r="62" spans="1:35" ht="15.75">
      <c r="D62" s="400" t="s">
        <v>292</v>
      </c>
      <c r="E62" s="401"/>
      <c r="F62" s="401"/>
    </row>
    <row r="63" spans="1:35">
      <c r="D63" s="317"/>
      <c r="E63" s="399" t="s">
        <v>368</v>
      </c>
      <c r="F63" s="399" t="s">
        <v>80</v>
      </c>
      <c r="G63" s="399" t="s">
        <v>83</v>
      </c>
      <c r="H63" s="399" t="s">
        <v>85</v>
      </c>
      <c r="I63" s="399" t="s">
        <v>86</v>
      </c>
      <c r="J63" s="399" t="s">
        <v>87</v>
      </c>
      <c r="K63" s="399" t="s">
        <v>88</v>
      </c>
      <c r="L63" s="1472" t="s">
        <v>90</v>
      </c>
      <c r="M63" s="1472" t="s">
        <v>91</v>
      </c>
      <c r="N63" s="1472" t="s">
        <v>93</v>
      </c>
      <c r="O63" s="1086"/>
    </row>
    <row r="64" spans="1:35">
      <c r="C64" s="330" t="str">
        <f>C10</f>
        <v>IMPLANTAÇÃO DO CANTEIRO DE OBRAS</v>
      </c>
      <c r="D64" s="317" t="s">
        <v>381</v>
      </c>
      <c r="E64" s="318"/>
      <c r="F64" s="318"/>
      <c r="G64" s="318">
        <v>37145.9</v>
      </c>
      <c r="H64" s="318">
        <v>0</v>
      </c>
      <c r="I64" s="318">
        <v>0</v>
      </c>
      <c r="J64" s="318">
        <v>0</v>
      </c>
      <c r="K64" s="318">
        <v>0</v>
      </c>
      <c r="L64" s="1024">
        <v>0</v>
      </c>
      <c r="M64" s="1024">
        <v>0</v>
      </c>
      <c r="N64" s="1024">
        <f>'12 - FINANCEIRA'!$K$16</f>
        <v>985.47000000000025</v>
      </c>
      <c r="P64" s="988">
        <f>SUM(E64:N64)</f>
        <v>38131.370000000003</v>
      </c>
    </row>
    <row r="65" spans="3:16">
      <c r="C65" s="330" t="str">
        <f>C15</f>
        <v>CANTEIRO DE OBRAS</v>
      </c>
      <c r="D65" s="317" t="s">
        <v>378</v>
      </c>
      <c r="E65" s="318"/>
      <c r="F65" s="318"/>
      <c r="G65" s="318">
        <v>5541.08</v>
      </c>
      <c r="H65" s="318">
        <v>3280.38</v>
      </c>
      <c r="I65" s="318">
        <v>3280.38</v>
      </c>
      <c r="J65" s="318">
        <v>3280.38</v>
      </c>
      <c r="K65" s="318">
        <v>3280.3799999999997</v>
      </c>
      <c r="L65" s="1024">
        <v>3280.3800000000006</v>
      </c>
      <c r="M65" s="1024">
        <v>0</v>
      </c>
      <c r="N65" s="1024">
        <f>'12 - FINANCEIRA'!$K$24</f>
        <v>2260.6999999999998</v>
      </c>
      <c r="P65" s="988">
        <f t="shared" ref="P65:P69" si="46">SUM(E65:N65)</f>
        <v>24203.680000000004</v>
      </c>
    </row>
    <row r="66" spans="3:16">
      <c r="C66" s="330" t="str">
        <f>C20</f>
        <v>TERRAPLANAGEM E PAVIMENTAÇÃO</v>
      </c>
      <c r="D66" s="1242" t="s">
        <v>380</v>
      </c>
      <c r="E66" s="1024"/>
      <c r="F66" s="1024"/>
      <c r="G66" s="1024">
        <v>51209.89</v>
      </c>
      <c r="H66" s="1024">
        <v>19617.050000000003</v>
      </c>
      <c r="I66" s="1024">
        <v>51981.14</v>
      </c>
      <c r="J66" s="1024">
        <v>21265.510000000002</v>
      </c>
      <c r="K66" s="1024">
        <v>16640.099999999995</v>
      </c>
      <c r="L66" s="1024">
        <v>30801.200000000004</v>
      </c>
      <c r="M66" s="1024">
        <v>1992.3999999999924</v>
      </c>
      <c r="N66" s="1024">
        <f>'12 - FINANCEIRA'!$K$32</f>
        <v>261262.15000000002</v>
      </c>
      <c r="P66" s="988">
        <f t="shared" si="46"/>
        <v>454769.44000000006</v>
      </c>
    </row>
    <row r="67" spans="3:16">
      <c r="C67" s="330" t="str">
        <f>C25</f>
        <v>DRENAGEM PLUVIAL</v>
      </c>
      <c r="D67" s="1242" t="s">
        <v>450</v>
      </c>
      <c r="E67" s="1024"/>
      <c r="F67" s="1024"/>
      <c r="G67" s="1024">
        <v>2783.36</v>
      </c>
      <c r="H67" s="1024">
        <v>5481.1</v>
      </c>
      <c r="I67" s="1024">
        <v>3479.2</v>
      </c>
      <c r="J67" s="1024">
        <v>4823.3200000000006</v>
      </c>
      <c r="K67" s="1024">
        <v>6562.9199999999992</v>
      </c>
      <c r="L67" s="1024">
        <v>2047.5099999999984</v>
      </c>
      <c r="M67" s="1024">
        <v>1692.04</v>
      </c>
      <c r="N67" s="1024">
        <f>'12 - FINANCEIRA'!$K$45</f>
        <v>6260.53</v>
      </c>
      <c r="P67" s="988">
        <f t="shared" si="46"/>
        <v>33129.979999999996</v>
      </c>
    </row>
    <row r="68" spans="3:16">
      <c r="C68" s="330" t="str">
        <f>C30</f>
        <v>MANUTENÇÃO REDE ESGOTO</v>
      </c>
      <c r="D68" s="1242" t="s">
        <v>486</v>
      </c>
      <c r="E68" s="1024"/>
      <c r="F68" s="1024"/>
      <c r="G68" s="1024">
        <v>0</v>
      </c>
      <c r="H68" s="1024">
        <v>0</v>
      </c>
      <c r="I68" s="1024">
        <v>3384.08</v>
      </c>
      <c r="J68" s="1024">
        <v>0</v>
      </c>
      <c r="K68" s="1024">
        <v>0</v>
      </c>
      <c r="L68" s="1024">
        <v>5076.1200000000008</v>
      </c>
      <c r="M68" s="1024">
        <v>0</v>
      </c>
      <c r="N68" s="1024">
        <f>'12 - FINANCEIRA'!$K$51</f>
        <v>15228.36</v>
      </c>
      <c r="P68" s="988">
        <f t="shared" si="46"/>
        <v>23688.560000000001</v>
      </c>
    </row>
    <row r="69" spans="3:16">
      <c r="C69" s="330" t="str">
        <f>C35</f>
        <v>OBRAS COMPLEMENTARES</v>
      </c>
      <c r="D69" s="317" t="s">
        <v>488</v>
      </c>
      <c r="E69" s="318"/>
      <c r="F69" s="318"/>
      <c r="G69" s="318">
        <v>8373.41</v>
      </c>
      <c r="H69" s="318">
        <v>0</v>
      </c>
      <c r="I69" s="318">
        <v>0</v>
      </c>
      <c r="J69" s="318">
        <v>48393.5</v>
      </c>
      <c r="K69" s="318">
        <v>44999.5</v>
      </c>
      <c r="L69" s="1024">
        <v>0</v>
      </c>
      <c r="M69" s="1024">
        <v>0</v>
      </c>
      <c r="N69" s="1024">
        <f>'12 - FINANCEIRA'!$K$53</f>
        <v>41218.880000000005</v>
      </c>
      <c r="P69" s="988">
        <f t="shared" si="46"/>
        <v>142985.29</v>
      </c>
    </row>
    <row r="70" spans="3:16">
      <c r="C70" s="330" t="str">
        <f>C40</f>
        <v>ESTRUTURA</v>
      </c>
      <c r="D70" s="317" t="s">
        <v>492</v>
      </c>
      <c r="E70" s="318"/>
      <c r="F70" s="318"/>
      <c r="G70" s="318">
        <v>399301.18999999994</v>
      </c>
      <c r="H70" s="318">
        <v>318914.53999999998</v>
      </c>
      <c r="I70" s="318">
        <v>339832.19000000012</v>
      </c>
      <c r="J70" s="318">
        <v>355802.28000000009</v>
      </c>
      <c r="K70" s="318">
        <v>286504.65999999992</v>
      </c>
      <c r="L70" s="1024">
        <v>248094.67</v>
      </c>
      <c r="M70" s="1024">
        <v>66979.540000000023</v>
      </c>
      <c r="N70" s="1024">
        <f>'12 - FINANCEIRA'!$K$58</f>
        <v>134714.00000000009</v>
      </c>
      <c r="P70" s="988">
        <f>SUM(E70:N70)</f>
        <v>2150143.0700000003</v>
      </c>
    </row>
    <row r="71" spans="3:16">
      <c r="C71" s="330" t="s">
        <v>1012</v>
      </c>
      <c r="D71" s="1242" t="s">
        <v>948</v>
      </c>
      <c r="E71" s="1024"/>
      <c r="F71" s="1024"/>
      <c r="G71" s="1024"/>
      <c r="H71" s="1024"/>
      <c r="I71" s="1024"/>
      <c r="J71" s="1024"/>
      <c r="K71" s="1024"/>
      <c r="L71" s="1024"/>
      <c r="M71" s="1024">
        <f>'12 - FINANCEIRA'!J74</f>
        <v>0</v>
      </c>
      <c r="N71" s="1024">
        <f>'12 - FINANCEIRA'!K74</f>
        <v>6102.62</v>
      </c>
      <c r="P71" s="988"/>
    </row>
    <row r="72" spans="3:16">
      <c r="C72" s="330" t="s">
        <v>1013</v>
      </c>
      <c r="D72" s="1242" t="s">
        <v>951</v>
      </c>
      <c r="E72" s="1024"/>
      <c r="F72" s="1024"/>
      <c r="G72" s="1024"/>
      <c r="H72" s="1024"/>
      <c r="I72" s="1024"/>
      <c r="J72" s="1024"/>
      <c r="K72" s="1024"/>
      <c r="L72" s="1024"/>
      <c r="M72" s="1024">
        <f>'12 - FINANCEIRA'!J76</f>
        <v>0</v>
      </c>
      <c r="N72" s="1024">
        <f>'12 - FINANCEIRA'!K76</f>
        <v>338237.29000000004</v>
      </c>
      <c r="P72" s="988"/>
    </row>
    <row r="73" spans="3:16">
      <c r="E73" s="320">
        <f>SUM(E64:E70)</f>
        <v>0</v>
      </c>
      <c r="F73" s="320">
        <f>F64+F65+F69</f>
        <v>0</v>
      </c>
      <c r="G73" s="320">
        <f>SUM(G64:G72)</f>
        <v>504354.82999999996</v>
      </c>
      <c r="H73" s="320">
        <f>SUM(H64:H72)</f>
        <v>347293.07</v>
      </c>
      <c r="I73" s="320">
        <f t="shared" ref="I73:M73" si="47">SUM(I64:I72)</f>
        <v>401956.99000000011</v>
      </c>
      <c r="J73" s="320">
        <f t="shared" si="47"/>
        <v>433564.99000000011</v>
      </c>
      <c r="K73" s="320">
        <f t="shared" si="47"/>
        <v>357987.55999999994</v>
      </c>
      <c r="L73" s="320">
        <f t="shared" si="47"/>
        <v>289299.88</v>
      </c>
      <c r="M73" s="320">
        <f t="shared" si="47"/>
        <v>70663.98000000001</v>
      </c>
      <c r="N73" s="320">
        <f>SUM(N64:N72)</f>
        <v>806270.00000000012</v>
      </c>
      <c r="P73" s="988">
        <f>SUM(E73:N73)</f>
        <v>3211391.3000000003</v>
      </c>
    </row>
    <row r="74" spans="3:16">
      <c r="E74" s="320"/>
      <c r="F74" s="320"/>
      <c r="G74" s="320"/>
      <c r="H74" s="320"/>
      <c r="I74" s="320"/>
      <c r="J74" s="320"/>
      <c r="K74" s="320"/>
      <c r="L74" s="320"/>
      <c r="M74" s="320"/>
      <c r="N74" s="320"/>
      <c r="P74" s="319">
        <f>SUM(E64:N70)</f>
        <v>2867051.3900000006</v>
      </c>
    </row>
    <row r="75" spans="3:16">
      <c r="E75" s="1928">
        <f>E57</f>
        <v>1.8670335695632798E-2</v>
      </c>
      <c r="F75" s="782">
        <f>E75+F57</f>
        <v>3.9096029401079341E-2</v>
      </c>
      <c r="G75" s="782">
        <f t="shared" ref="G75:M75" si="48">F75+G57</f>
        <v>5.1223109493430521E-2</v>
      </c>
      <c r="H75" s="782">
        <f t="shared" si="48"/>
        <v>5.6417793015132639E-2</v>
      </c>
      <c r="I75" s="782">
        <f t="shared" si="48"/>
        <v>7.9298926039834738E-2</v>
      </c>
      <c r="J75" s="782">
        <f t="shared" si="48"/>
        <v>0.95147708366706651</v>
      </c>
      <c r="K75" s="782">
        <f t="shared" si="48"/>
        <v>0.96603395829072558</v>
      </c>
      <c r="L75" s="782">
        <f t="shared" si="48"/>
        <v>0.98059083291438465</v>
      </c>
      <c r="M75" s="782">
        <f t="shared" si="48"/>
        <v>1.0000000000000002</v>
      </c>
    </row>
    <row r="76" spans="3:16">
      <c r="E76" s="554"/>
    </row>
    <row r="77" spans="3:16">
      <c r="E77" s="554"/>
    </row>
    <row r="78" spans="3:16">
      <c r="E78" s="554"/>
      <c r="G78" s="319"/>
      <c r="H78" s="782"/>
      <c r="I78" s="782"/>
      <c r="J78" s="782"/>
      <c r="K78" s="782"/>
      <c r="L78" s="782"/>
      <c r="M78" s="782"/>
      <c r="N78" s="782"/>
    </row>
    <row r="79" spans="3:16">
      <c r="G79" s="319"/>
    </row>
    <row r="80" spans="3:16">
      <c r="G80" s="319"/>
    </row>
    <row r="81" spans="7:7">
      <c r="G81" s="319"/>
    </row>
    <row r="82" spans="7:7">
      <c r="G82" s="319"/>
    </row>
    <row r="83" spans="7:7">
      <c r="G83" s="319"/>
    </row>
    <row r="84" spans="7:7">
      <c r="G84" s="319"/>
    </row>
    <row r="85" spans="7:7">
      <c r="G85" s="319"/>
    </row>
    <row r="86" spans="7:7">
      <c r="G86" s="319"/>
    </row>
    <row r="87" spans="7:7">
      <c r="G87" s="319"/>
    </row>
    <row r="88" spans="7:7">
      <c r="G88" s="319"/>
    </row>
    <row r="89" spans="7:7">
      <c r="G89" s="319"/>
    </row>
  </sheetData>
  <mergeCells count="23">
    <mergeCell ref="C50:C51"/>
    <mergeCell ref="AC56:AH58"/>
    <mergeCell ref="AB59:AI61"/>
    <mergeCell ref="B56:B59"/>
    <mergeCell ref="C56:C57"/>
    <mergeCell ref="B50:B53"/>
    <mergeCell ref="B40:B43"/>
    <mergeCell ref="C40:C41"/>
    <mergeCell ref="B35:B38"/>
    <mergeCell ref="B45:B48"/>
    <mergeCell ref="C45:C46"/>
    <mergeCell ref="C35:C36"/>
    <mergeCell ref="B25:B28"/>
    <mergeCell ref="C25:C26"/>
    <mergeCell ref="B30:B33"/>
    <mergeCell ref="B2:N3"/>
    <mergeCell ref="C30:C31"/>
    <mergeCell ref="B10:B13"/>
    <mergeCell ref="C10:C11"/>
    <mergeCell ref="B20:B23"/>
    <mergeCell ref="C20:C21"/>
    <mergeCell ref="B15:B18"/>
    <mergeCell ref="C15:C16"/>
  </mergeCells>
  <phoneticPr fontId="103" type="noConversion"/>
  <printOptions horizontalCentered="1"/>
  <pageMargins left="0.23622047244094491" right="0.23622047244094491" top="0.74803149606299213" bottom="0.74803149606299213" header="0.31496062992125984" footer="0.31496062992125984"/>
  <pageSetup paperSize="9" scale="58" firstPageNumber="20" fitToWidth="0"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336600"/>
    <pageSetUpPr fitToPage="1"/>
  </sheetPr>
  <dimension ref="A1:AJ53"/>
  <sheetViews>
    <sheetView view="pageBreakPreview" topLeftCell="A16" zoomScale="60" zoomScaleNormal="100" workbookViewId="0">
      <selection activeCell="J52" sqref="J52:K53"/>
    </sheetView>
  </sheetViews>
  <sheetFormatPr defaultRowHeight="12.75"/>
  <cols>
    <col min="1" max="1" width="9.140625" style="12"/>
    <col min="2" max="2" width="14.2851562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5" width="13.5703125" style="8" customWidth="1"/>
    <col min="16" max="16" width="14.5703125" style="8" customWidth="1"/>
    <col min="17" max="18" width="13.5703125" style="8" customWidth="1"/>
    <col min="19" max="19" width="9" style="8" customWidth="1"/>
    <col min="20" max="20" width="12.5703125" style="8" customWidth="1"/>
    <col min="21" max="21" width="38.140625" style="8" bestFit="1" customWidth="1"/>
    <col min="22" max="27" width="9.140625" style="8"/>
    <col min="28" max="28" width="12.7109375" style="15" customWidth="1"/>
    <col min="29" max="16384" width="9.140625" style="8"/>
  </cols>
  <sheetData>
    <row r="1" spans="1:36" ht="18.75" customHeight="1">
      <c r="B1" s="2652" t="s">
        <v>115</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708" t="s">
        <v>9</v>
      </c>
      <c r="C6" s="2709"/>
      <c r="D6" s="2709"/>
      <c r="E6" s="2709"/>
      <c r="F6" s="2709"/>
      <c r="G6" s="2709"/>
      <c r="H6" s="2709"/>
      <c r="I6" s="2709"/>
      <c r="J6" s="2709"/>
      <c r="K6" s="2710" t="s">
        <v>10</v>
      </c>
      <c r="L6" s="2711"/>
      <c r="M6" s="2711"/>
      <c r="N6" s="2711"/>
      <c r="O6" s="2711"/>
      <c r="P6" s="2711"/>
      <c r="Q6" s="2711"/>
      <c r="R6" s="2711"/>
      <c r="S6" s="2711"/>
      <c r="T6" s="2711"/>
      <c r="U6" s="2712"/>
      <c r="V6" s="99"/>
      <c r="W6" s="99"/>
      <c r="X6" s="99"/>
      <c r="Y6" s="99"/>
      <c r="Z6" s="99"/>
      <c r="AA6" s="99"/>
      <c r="AB6" s="17"/>
    </row>
    <row r="7" spans="1:36" s="20" customFormat="1" ht="15.75">
      <c r="A7" s="19"/>
      <c r="B7" s="152" t="s">
        <v>96</v>
      </c>
      <c r="C7" s="149" t="e">
        <f>#REF!</f>
        <v>#REF!</v>
      </c>
      <c r="D7" s="145"/>
      <c r="E7" s="92"/>
      <c r="F7" s="92"/>
      <c r="G7" s="145"/>
      <c r="H7" s="92"/>
      <c r="I7" s="92"/>
      <c r="J7" s="200"/>
      <c r="K7" s="151" t="s">
        <v>190</v>
      </c>
      <c r="L7" s="94"/>
      <c r="M7" s="93"/>
      <c r="N7" s="93"/>
      <c r="O7" s="150"/>
      <c r="P7" s="93"/>
      <c r="Q7" s="93"/>
      <c r="R7" s="93"/>
      <c r="S7" s="94"/>
      <c r="T7" s="94"/>
      <c r="U7" s="95"/>
      <c r="AB7" s="21"/>
    </row>
    <row r="8" spans="1:36" s="20" customFormat="1" ht="15.75">
      <c r="A8" s="19"/>
      <c r="B8" s="148" t="s">
        <v>79</v>
      </c>
      <c r="C8" s="149" t="e">
        <f>#REF!</f>
        <v>#REF!</v>
      </c>
      <c r="D8" s="145"/>
      <c r="E8" s="92"/>
      <c r="F8" s="92"/>
      <c r="G8" s="145"/>
      <c r="H8" s="92"/>
      <c r="I8" s="92"/>
      <c r="J8" s="144"/>
      <c r="K8" s="146" t="s">
        <v>191</v>
      </c>
      <c r="L8" s="145"/>
      <c r="M8" s="145"/>
      <c r="N8" s="96"/>
      <c r="O8" s="96"/>
      <c r="P8" s="96"/>
      <c r="Q8" s="96"/>
      <c r="R8" s="96"/>
      <c r="S8" s="145"/>
      <c r="T8" s="2647"/>
      <c r="U8" s="2648"/>
      <c r="AB8" s="21"/>
    </row>
    <row r="9" spans="1:36" s="20" customFormat="1" ht="15.75">
      <c r="A9" s="19"/>
      <c r="B9" s="148" t="s">
        <v>11</v>
      </c>
      <c r="C9" s="147" t="e">
        <f>VLOOKUP(B9,[0]!_xlnm.Print_Area,2,FALSE)</f>
        <v>#REF!</v>
      </c>
      <c r="D9" s="145"/>
      <c r="E9" s="92"/>
      <c r="F9" s="92"/>
      <c r="G9" s="145"/>
      <c r="H9" s="92"/>
      <c r="I9" s="92"/>
      <c r="J9" s="144"/>
      <c r="K9" s="146" t="s">
        <v>192</v>
      </c>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147" t="e">
        <f>VLOOKUP(B10,[0]!_xlnm.Print_Area,2,FALSE)</f>
        <v>#REF!</v>
      </c>
      <c r="D10" s="145"/>
      <c r="E10" s="92"/>
      <c r="F10" s="92"/>
      <c r="G10" s="145"/>
      <c r="H10" s="92"/>
      <c r="I10" s="92"/>
      <c r="J10" s="201"/>
      <c r="K10" s="146" t="s">
        <v>193</v>
      </c>
      <c r="L10" s="92"/>
      <c r="M10" s="92"/>
      <c r="N10" s="92"/>
      <c r="O10" s="92"/>
      <c r="P10" s="202"/>
      <c r="Q10" s="92"/>
      <c r="R10" s="92"/>
      <c r="S10" s="92"/>
      <c r="T10" s="2660"/>
      <c r="U10" s="2661"/>
      <c r="AA10" s="22"/>
      <c r="AB10" s="22"/>
      <c r="AC10" s="22"/>
      <c r="AD10" s="22"/>
      <c r="AE10" s="22"/>
      <c r="AF10" s="22"/>
      <c r="AG10" s="22"/>
      <c r="AH10" s="22"/>
      <c r="AI10" s="22"/>
      <c r="AJ10" s="22"/>
    </row>
    <row r="11" spans="1:36" s="29" customFormat="1" ht="21" customHeight="1">
      <c r="A11" s="23"/>
      <c r="B11" s="143" t="str">
        <f>LEFT(A53,1)</f>
        <v>5</v>
      </c>
      <c r="C11" s="2713" t="e">
        <f>VLOOKUP(B11,#REF!,3,FALSE)</f>
        <v>#REF!</v>
      </c>
      <c r="D11" s="2714"/>
      <c r="E11" s="2714"/>
      <c r="F11" s="2714"/>
      <c r="G11" s="2714"/>
      <c r="H11" s="2714"/>
      <c r="I11" s="2714"/>
      <c r="J11" s="2714"/>
      <c r="K11" s="2714"/>
      <c r="L11" s="2714"/>
      <c r="M11" s="24"/>
      <c r="N11" s="24"/>
      <c r="O11" s="24"/>
      <c r="P11" s="24"/>
      <c r="Q11" s="24"/>
      <c r="R11" s="24"/>
      <c r="S11" s="24"/>
      <c r="T11" s="24"/>
      <c r="U11" s="25"/>
      <c r="V11" s="26"/>
      <c r="W11" s="26"/>
      <c r="X11" s="26"/>
      <c r="Y11" s="26"/>
      <c r="Z11" s="27"/>
      <c r="AA11" s="28"/>
      <c r="AB11" s="28"/>
      <c r="AC11" s="28"/>
      <c r="AD11" s="28"/>
      <c r="AE11" s="28"/>
      <c r="AF11" s="28"/>
      <c r="AG11" s="28"/>
      <c r="AH11" s="28"/>
      <c r="AI11" s="28"/>
      <c r="AJ11" s="28"/>
    </row>
    <row r="12" spans="1:36" s="29" customFormat="1" ht="25.5" customHeight="1">
      <c r="A12" s="23"/>
      <c r="B12" s="2664" t="e">
        <f>VLOOKUP(A53,#REF!,2,FALSE)</f>
        <v>#REF!</v>
      </c>
      <c r="C12" s="2665" t="e">
        <f>VLOOKUP(A53,#REF!,3,FALSE)</f>
        <v>#REF!</v>
      </c>
      <c r="D12" s="2666" t="s">
        <v>97</v>
      </c>
      <c r="E12" s="2666"/>
      <c r="F12" s="2666"/>
      <c r="G12" s="2666"/>
      <c r="H12" s="2666"/>
      <c r="I12" s="2666"/>
      <c r="J12" s="2668" t="s">
        <v>98</v>
      </c>
      <c r="K12" s="2668" t="s">
        <v>102</v>
      </c>
      <c r="L12" s="2668" t="s">
        <v>103</v>
      </c>
      <c r="M12" s="2668" t="s">
        <v>113</v>
      </c>
      <c r="N12" s="2668" t="s">
        <v>112</v>
      </c>
      <c r="O12" s="2668" t="s">
        <v>107</v>
      </c>
      <c r="P12" s="192" t="s">
        <v>153</v>
      </c>
      <c r="Q12" s="2668" t="s">
        <v>116</v>
      </c>
      <c r="R12" s="2668" t="s">
        <v>2</v>
      </c>
      <c r="S12" s="2668" t="s">
        <v>99</v>
      </c>
      <c r="T12" s="2668" t="s">
        <v>17</v>
      </c>
      <c r="U12" s="2667" t="s">
        <v>110</v>
      </c>
      <c r="V12" s="26"/>
      <c r="W12" s="26"/>
      <c r="X12" s="26"/>
      <c r="Y12" s="26"/>
      <c r="Z12" s="27"/>
      <c r="AA12" s="28"/>
      <c r="AB12" s="28"/>
      <c r="AC12" s="28"/>
      <c r="AD12" s="28"/>
      <c r="AE12" s="28"/>
      <c r="AF12" s="28"/>
      <c r="AG12" s="28"/>
      <c r="AH12" s="28"/>
      <c r="AI12" s="28"/>
      <c r="AJ12" s="28"/>
    </row>
    <row r="13" spans="1:36" s="29" customFormat="1" ht="19.5" customHeight="1">
      <c r="A13" s="23"/>
      <c r="B13" s="2664"/>
      <c r="C13" s="2665"/>
      <c r="D13" s="2669" t="s">
        <v>14</v>
      </c>
      <c r="E13" s="2669"/>
      <c r="F13" s="2669"/>
      <c r="G13" s="2667" t="s">
        <v>15</v>
      </c>
      <c r="H13" s="2667"/>
      <c r="I13" s="2667"/>
      <c r="J13" s="2417"/>
      <c r="K13" s="2417"/>
      <c r="L13" s="2417"/>
      <c r="M13" s="2417"/>
      <c r="N13" s="2417"/>
      <c r="O13" s="2417"/>
      <c r="P13" s="89" t="s">
        <v>104</v>
      </c>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39"/>
      <c r="C14" s="58" t="s">
        <v>148</v>
      </c>
      <c r="D14" s="82">
        <v>225</v>
      </c>
      <c r="E14" s="44" t="s">
        <v>68</v>
      </c>
      <c r="F14" s="83">
        <v>14</v>
      </c>
      <c r="G14" s="43"/>
      <c r="H14" s="44"/>
      <c r="I14" s="45"/>
      <c r="J14" s="46" t="s">
        <v>70</v>
      </c>
      <c r="K14" s="35"/>
      <c r="L14" s="48"/>
      <c r="M14" s="49"/>
      <c r="N14" s="50"/>
      <c r="O14" s="50"/>
      <c r="P14" s="48"/>
      <c r="Q14" s="53"/>
      <c r="R14" s="53">
        <v>1</v>
      </c>
      <c r="S14" s="54" t="s">
        <v>101</v>
      </c>
      <c r="T14" s="141" t="s">
        <v>85</v>
      </c>
      <c r="U14" s="39" t="s">
        <v>152</v>
      </c>
      <c r="V14" s="26"/>
      <c r="W14" s="26"/>
      <c r="X14" s="26"/>
      <c r="Y14" s="26"/>
      <c r="Z14" s="27"/>
    </row>
    <row r="15" spans="1:36" s="28" customFormat="1" ht="20.100000000000001" customHeight="1">
      <c r="A15" s="129"/>
      <c r="B15" s="139"/>
      <c r="C15" s="58" t="s">
        <v>148</v>
      </c>
      <c r="D15" s="82">
        <v>226</v>
      </c>
      <c r="E15" s="44" t="s">
        <v>68</v>
      </c>
      <c r="F15" s="83">
        <v>15</v>
      </c>
      <c r="G15" s="43"/>
      <c r="H15" s="44"/>
      <c r="I15" s="45"/>
      <c r="J15" s="46" t="s">
        <v>70</v>
      </c>
      <c r="K15" s="35"/>
      <c r="L15" s="48"/>
      <c r="M15" s="49"/>
      <c r="N15" s="50"/>
      <c r="O15" s="50"/>
      <c r="P15" s="48"/>
      <c r="Q15" s="53"/>
      <c r="R15" s="53">
        <v>1</v>
      </c>
      <c r="S15" s="54" t="s">
        <v>101</v>
      </c>
      <c r="T15" s="141" t="s">
        <v>85</v>
      </c>
      <c r="U15" s="39" t="s">
        <v>152</v>
      </c>
      <c r="V15" s="26"/>
      <c r="W15" s="26"/>
      <c r="X15" s="26"/>
      <c r="Y15" s="26"/>
      <c r="Z15" s="27"/>
      <c r="AA15" s="41"/>
      <c r="AB15" s="114"/>
    </row>
    <row r="16" spans="1:36" s="28" customFormat="1" ht="20.100000000000001" customHeight="1">
      <c r="A16" s="129"/>
      <c r="B16" s="139"/>
      <c r="C16" s="58" t="s">
        <v>148</v>
      </c>
      <c r="D16" s="82">
        <v>550</v>
      </c>
      <c r="E16" s="44" t="s">
        <v>68</v>
      </c>
      <c r="F16" s="83">
        <v>10</v>
      </c>
      <c r="G16" s="43"/>
      <c r="H16" s="44"/>
      <c r="I16" s="45"/>
      <c r="J16" s="46" t="s">
        <v>70</v>
      </c>
      <c r="K16" s="35"/>
      <c r="L16" s="48"/>
      <c r="M16" s="49"/>
      <c r="N16" s="50"/>
      <c r="O16" s="50"/>
      <c r="P16" s="48"/>
      <c r="Q16" s="53"/>
      <c r="R16" s="53">
        <v>1</v>
      </c>
      <c r="S16" s="54" t="s">
        <v>101</v>
      </c>
      <c r="T16" s="141" t="s">
        <v>85</v>
      </c>
      <c r="U16" s="39" t="s">
        <v>152</v>
      </c>
      <c r="V16" s="26"/>
      <c r="W16" s="26"/>
      <c r="X16" s="26"/>
      <c r="Y16" s="26"/>
      <c r="Z16" s="27"/>
      <c r="AA16" s="41"/>
      <c r="AB16" s="114"/>
    </row>
    <row r="17" spans="1:28" s="28" customFormat="1" ht="20.100000000000001" customHeight="1">
      <c r="A17" s="129"/>
      <c r="B17" s="139"/>
      <c r="C17" s="58" t="s">
        <v>148</v>
      </c>
      <c r="D17" s="82">
        <v>221</v>
      </c>
      <c r="E17" s="44" t="s">
        <v>68</v>
      </c>
      <c r="F17" s="83">
        <v>0</v>
      </c>
      <c r="G17" s="43"/>
      <c r="H17" s="44"/>
      <c r="I17" s="45"/>
      <c r="J17" s="46" t="s">
        <v>70</v>
      </c>
      <c r="K17" s="35"/>
      <c r="L17" s="48"/>
      <c r="M17" s="49"/>
      <c r="N17" s="50"/>
      <c r="O17" s="50"/>
      <c r="P17" s="48"/>
      <c r="Q17" s="53"/>
      <c r="R17" s="53">
        <v>1</v>
      </c>
      <c r="S17" s="54" t="s">
        <v>101</v>
      </c>
      <c r="T17" s="141" t="s">
        <v>85</v>
      </c>
      <c r="U17" s="39" t="s">
        <v>152</v>
      </c>
      <c r="V17" s="26"/>
      <c r="W17" s="26"/>
      <c r="X17" s="26"/>
      <c r="Y17" s="26"/>
      <c r="Z17" s="27"/>
      <c r="AA17" s="41"/>
      <c r="AB17" s="114"/>
    </row>
    <row r="18" spans="1:28" s="28" customFormat="1" ht="20.100000000000001" customHeight="1">
      <c r="A18" s="129"/>
      <c r="B18" s="139"/>
      <c r="C18" s="58" t="s">
        <v>148</v>
      </c>
      <c r="D18" s="82">
        <v>305</v>
      </c>
      <c r="E18" s="44" t="s">
        <v>68</v>
      </c>
      <c r="F18" s="83">
        <v>10</v>
      </c>
      <c r="G18" s="43"/>
      <c r="H18" s="44"/>
      <c r="I18" s="45"/>
      <c r="J18" s="46" t="s">
        <v>70</v>
      </c>
      <c r="K18" s="47"/>
      <c r="L18" s="48"/>
      <c r="M18" s="49"/>
      <c r="N18" s="50"/>
      <c r="O18" s="50"/>
      <c r="P18" s="48"/>
      <c r="Q18" s="53"/>
      <c r="R18" s="53">
        <v>1</v>
      </c>
      <c r="S18" s="54" t="s">
        <v>101</v>
      </c>
      <c r="T18" s="141" t="s">
        <v>85</v>
      </c>
      <c r="U18" s="39" t="s">
        <v>152</v>
      </c>
      <c r="V18" s="26"/>
      <c r="W18" s="26"/>
      <c r="X18" s="26"/>
      <c r="Y18" s="26"/>
      <c r="Z18" s="27"/>
      <c r="AA18" s="41"/>
      <c r="AB18" s="114"/>
    </row>
    <row r="19" spans="1:28" s="28" customFormat="1" ht="20.100000000000001" customHeight="1">
      <c r="A19" s="129"/>
      <c r="B19" s="139"/>
      <c r="C19" s="58" t="s">
        <v>148</v>
      </c>
      <c r="D19" s="82">
        <v>121</v>
      </c>
      <c r="E19" s="44" t="s">
        <v>68</v>
      </c>
      <c r="F19" s="83">
        <v>7</v>
      </c>
      <c r="G19" s="43"/>
      <c r="H19" s="44"/>
      <c r="I19" s="45"/>
      <c r="J19" s="46" t="s">
        <v>69</v>
      </c>
      <c r="K19" s="47"/>
      <c r="L19" s="48"/>
      <c r="M19" s="49"/>
      <c r="N19" s="50"/>
      <c r="O19" s="50"/>
      <c r="P19" s="48"/>
      <c r="Q19" s="53"/>
      <c r="R19" s="53">
        <v>1</v>
      </c>
      <c r="S19" s="54" t="s">
        <v>101</v>
      </c>
      <c r="T19" s="141" t="s">
        <v>88</v>
      </c>
      <c r="U19" s="39" t="s">
        <v>151</v>
      </c>
      <c r="V19" s="26"/>
      <c r="W19" s="26"/>
      <c r="X19" s="26"/>
      <c r="Y19" s="26"/>
      <c r="Z19" s="27"/>
      <c r="AA19" s="41"/>
      <c r="AB19" s="114"/>
    </row>
    <row r="20" spans="1:28" s="28" customFormat="1" ht="20.100000000000001" customHeight="1">
      <c r="A20" s="129"/>
      <c r="B20" s="139"/>
      <c r="C20" s="58" t="s">
        <v>148</v>
      </c>
      <c r="D20" s="82">
        <v>120</v>
      </c>
      <c r="E20" s="44" t="s">
        <v>68</v>
      </c>
      <c r="F20" s="83">
        <v>14</v>
      </c>
      <c r="G20" s="82"/>
      <c r="H20" s="44"/>
      <c r="I20" s="83"/>
      <c r="J20" s="46" t="s">
        <v>69</v>
      </c>
      <c r="K20" s="47"/>
      <c r="L20" s="48"/>
      <c r="M20" s="49"/>
      <c r="N20" s="50"/>
      <c r="O20" s="50"/>
      <c r="P20" s="48"/>
      <c r="Q20" s="53"/>
      <c r="R20" s="53">
        <v>1</v>
      </c>
      <c r="S20" s="54" t="s">
        <v>101</v>
      </c>
      <c r="T20" s="141" t="s">
        <v>88</v>
      </c>
      <c r="U20" s="39" t="s">
        <v>151</v>
      </c>
      <c r="V20" s="26"/>
      <c r="W20" s="26"/>
      <c r="X20" s="26"/>
      <c r="Y20" s="26"/>
      <c r="Z20" s="27"/>
      <c r="AA20" s="41"/>
      <c r="AB20" s="114"/>
    </row>
    <row r="21" spans="1:28" s="28" customFormat="1" ht="20.100000000000001" customHeight="1">
      <c r="A21" s="129"/>
      <c r="B21" s="139"/>
      <c r="C21" s="30" t="s">
        <v>148</v>
      </c>
      <c r="D21" s="82">
        <v>120</v>
      </c>
      <c r="E21" s="44" t="s">
        <v>68</v>
      </c>
      <c r="F21" s="83">
        <v>1</v>
      </c>
      <c r="G21" s="82"/>
      <c r="H21" s="44"/>
      <c r="I21" s="83"/>
      <c r="J21" s="46" t="s">
        <v>69</v>
      </c>
      <c r="K21" s="47"/>
      <c r="L21" s="48"/>
      <c r="M21" s="49"/>
      <c r="N21" s="50"/>
      <c r="O21" s="50"/>
      <c r="P21" s="48"/>
      <c r="Q21" s="53"/>
      <c r="R21" s="53">
        <v>1</v>
      </c>
      <c r="S21" s="54" t="s">
        <v>101</v>
      </c>
      <c r="T21" s="141" t="s">
        <v>88</v>
      </c>
      <c r="U21" s="39" t="s">
        <v>151</v>
      </c>
      <c r="V21" s="26"/>
      <c r="W21" s="26"/>
      <c r="X21" s="26"/>
      <c r="Y21" s="26"/>
      <c r="Z21" s="27"/>
      <c r="AA21" s="41"/>
      <c r="AB21" s="114"/>
    </row>
    <row r="22" spans="1:28" s="28" customFormat="1" ht="20.100000000000001" customHeight="1">
      <c r="A22" s="129"/>
      <c r="B22" s="139"/>
      <c r="C22" s="30" t="s">
        <v>148</v>
      </c>
      <c r="D22" s="82">
        <v>119</v>
      </c>
      <c r="E22" s="44" t="s">
        <v>68</v>
      </c>
      <c r="F22" s="83">
        <v>3</v>
      </c>
      <c r="G22" s="82"/>
      <c r="H22" s="44"/>
      <c r="I22" s="83"/>
      <c r="J22" s="46" t="s">
        <v>69</v>
      </c>
      <c r="K22" s="47"/>
      <c r="L22" s="48"/>
      <c r="M22" s="49"/>
      <c r="N22" s="50"/>
      <c r="O22" s="50"/>
      <c r="P22" s="48"/>
      <c r="Q22" s="53"/>
      <c r="R22" s="53">
        <v>1</v>
      </c>
      <c r="S22" s="54" t="s">
        <v>101</v>
      </c>
      <c r="T22" s="141" t="s">
        <v>88</v>
      </c>
      <c r="U22" s="39" t="s">
        <v>151</v>
      </c>
      <c r="V22" s="26"/>
      <c r="W22" s="26"/>
      <c r="X22" s="26"/>
      <c r="Y22" s="26"/>
      <c r="Z22" s="27"/>
      <c r="AA22" s="41"/>
      <c r="AB22" s="114"/>
    </row>
    <row r="23" spans="1:28" s="28" customFormat="1" ht="20.100000000000001" customHeight="1">
      <c r="A23" s="129"/>
      <c r="B23" s="139"/>
      <c r="C23" s="58" t="s">
        <v>148</v>
      </c>
      <c r="D23" s="82">
        <v>118</v>
      </c>
      <c r="E23" s="44" t="s">
        <v>68</v>
      </c>
      <c r="F23" s="83">
        <v>10</v>
      </c>
      <c r="G23" s="82"/>
      <c r="H23" s="44"/>
      <c r="I23" s="83"/>
      <c r="J23" s="46" t="s">
        <v>69</v>
      </c>
      <c r="K23" s="47"/>
      <c r="L23" s="48"/>
      <c r="M23" s="49"/>
      <c r="N23" s="50"/>
      <c r="O23" s="50"/>
      <c r="P23" s="48"/>
      <c r="Q23" s="53"/>
      <c r="R23" s="53">
        <v>1</v>
      </c>
      <c r="S23" s="54" t="s">
        <v>101</v>
      </c>
      <c r="T23" s="141" t="s">
        <v>88</v>
      </c>
      <c r="U23" s="39" t="s">
        <v>151</v>
      </c>
      <c r="V23" s="26"/>
      <c r="W23" s="26"/>
      <c r="X23" s="26"/>
      <c r="Y23" s="26"/>
      <c r="Z23" s="27"/>
      <c r="AA23" s="41"/>
      <c r="AB23" s="114"/>
    </row>
    <row r="24" spans="1:28" s="28" customFormat="1" ht="20.100000000000001" customHeight="1">
      <c r="A24" s="129"/>
      <c r="B24" s="139"/>
      <c r="C24" s="58" t="s">
        <v>148</v>
      </c>
      <c r="D24" s="82">
        <v>117</v>
      </c>
      <c r="E24" s="44" t="s">
        <v>68</v>
      </c>
      <c r="F24" s="83">
        <v>1</v>
      </c>
      <c r="G24" s="82"/>
      <c r="H24" s="44"/>
      <c r="I24" s="83"/>
      <c r="J24" s="46" t="s">
        <v>69</v>
      </c>
      <c r="K24" s="47"/>
      <c r="L24" s="48"/>
      <c r="M24" s="49"/>
      <c r="N24" s="50"/>
      <c r="O24" s="50"/>
      <c r="P24" s="48"/>
      <c r="Q24" s="53"/>
      <c r="R24" s="53">
        <v>1</v>
      </c>
      <c r="S24" s="54" t="s">
        <v>101</v>
      </c>
      <c r="T24" s="141" t="s">
        <v>88</v>
      </c>
      <c r="U24" s="39" t="s">
        <v>151</v>
      </c>
      <c r="V24" s="26"/>
      <c r="W24" s="26"/>
      <c r="X24" s="26"/>
      <c r="Y24" s="26"/>
      <c r="Z24" s="27"/>
      <c r="AA24" s="41"/>
      <c r="AB24" s="114"/>
    </row>
    <row r="25" spans="1:28" s="28" customFormat="1" ht="20.100000000000001" customHeight="1">
      <c r="A25" s="129"/>
      <c r="B25" s="139"/>
      <c r="C25" s="58" t="s">
        <v>148</v>
      </c>
      <c r="D25" s="82">
        <v>115</v>
      </c>
      <c r="E25" s="44" t="s">
        <v>68</v>
      </c>
      <c r="F25" s="83">
        <v>7</v>
      </c>
      <c r="G25" s="82"/>
      <c r="H25" s="44"/>
      <c r="I25" s="83"/>
      <c r="J25" s="46" t="s">
        <v>69</v>
      </c>
      <c r="K25" s="47"/>
      <c r="L25" s="48"/>
      <c r="M25" s="49"/>
      <c r="N25" s="50"/>
      <c r="O25" s="50"/>
      <c r="P25" s="48"/>
      <c r="Q25" s="53"/>
      <c r="R25" s="53">
        <v>1</v>
      </c>
      <c r="S25" s="54" t="s">
        <v>101</v>
      </c>
      <c r="T25" s="141" t="s">
        <v>88</v>
      </c>
      <c r="U25" s="39" t="s">
        <v>151</v>
      </c>
      <c r="V25" s="26"/>
      <c r="W25" s="26"/>
      <c r="X25" s="26"/>
      <c r="Y25" s="26"/>
      <c r="Z25" s="27"/>
      <c r="AA25" s="41"/>
      <c r="AB25" s="114"/>
    </row>
    <row r="26" spans="1:28" s="28" customFormat="1" ht="20.100000000000001" customHeight="1">
      <c r="A26" s="129"/>
      <c r="B26" s="139"/>
      <c r="C26" s="58" t="s">
        <v>148</v>
      </c>
      <c r="D26" s="82">
        <v>114</v>
      </c>
      <c r="E26" s="44" t="s">
        <v>68</v>
      </c>
      <c r="F26" s="83">
        <v>4</v>
      </c>
      <c r="G26" s="82"/>
      <c r="H26" s="44"/>
      <c r="I26" s="83"/>
      <c r="J26" s="46" t="s">
        <v>69</v>
      </c>
      <c r="K26" s="47"/>
      <c r="L26" s="48"/>
      <c r="M26" s="49"/>
      <c r="N26" s="50"/>
      <c r="O26" s="50"/>
      <c r="P26" s="48"/>
      <c r="Q26" s="53"/>
      <c r="R26" s="53">
        <v>1</v>
      </c>
      <c r="S26" s="54" t="s">
        <v>101</v>
      </c>
      <c r="T26" s="141" t="s">
        <v>88</v>
      </c>
      <c r="U26" s="39" t="s">
        <v>151</v>
      </c>
      <c r="V26" s="26"/>
      <c r="W26" s="26"/>
      <c r="X26" s="26"/>
      <c r="Y26" s="26"/>
      <c r="Z26" s="27"/>
      <c r="AA26" s="41"/>
      <c r="AB26" s="114"/>
    </row>
    <row r="27" spans="1:28" s="28" customFormat="1" ht="20.100000000000001" customHeight="1">
      <c r="A27" s="129"/>
      <c r="B27" s="139"/>
      <c r="C27" s="58" t="s">
        <v>148</v>
      </c>
      <c r="D27" s="82">
        <v>220</v>
      </c>
      <c r="E27" s="44" t="s">
        <v>68</v>
      </c>
      <c r="F27" s="83">
        <v>10</v>
      </c>
      <c r="G27" s="82"/>
      <c r="H27" s="44"/>
      <c r="I27" s="83"/>
      <c r="J27" s="34" t="s">
        <v>69</v>
      </c>
      <c r="K27" s="35"/>
      <c r="L27" s="35"/>
      <c r="M27" s="36"/>
      <c r="N27" s="81"/>
      <c r="O27" s="81"/>
      <c r="P27" s="35"/>
      <c r="Q27" s="37"/>
      <c r="R27" s="37">
        <v>1</v>
      </c>
      <c r="S27" s="38" t="s">
        <v>101</v>
      </c>
      <c r="T27" s="194" t="s">
        <v>91</v>
      </c>
      <c r="U27" s="39" t="s">
        <v>150</v>
      </c>
      <c r="V27" s="26"/>
      <c r="W27" s="26"/>
      <c r="X27" s="26"/>
      <c r="Y27" s="26"/>
      <c r="Z27" s="27"/>
      <c r="AA27" s="41"/>
      <c r="AB27" s="114"/>
    </row>
    <row r="28" spans="1:28" s="28" customFormat="1" ht="20.100000000000001" customHeight="1">
      <c r="A28" s="129"/>
      <c r="B28" s="139"/>
      <c r="C28" s="58" t="s">
        <v>148</v>
      </c>
      <c r="D28" s="82">
        <v>222</v>
      </c>
      <c r="E28" s="44" t="s">
        <v>68</v>
      </c>
      <c r="F28" s="83">
        <v>10</v>
      </c>
      <c r="G28" s="82"/>
      <c r="H28" s="44"/>
      <c r="I28" s="83"/>
      <c r="J28" s="34" t="s">
        <v>70</v>
      </c>
      <c r="K28" s="35"/>
      <c r="L28" s="35"/>
      <c r="M28" s="36"/>
      <c r="N28" s="81"/>
      <c r="O28" s="81"/>
      <c r="P28" s="35"/>
      <c r="Q28" s="37"/>
      <c r="R28" s="37">
        <v>1</v>
      </c>
      <c r="S28" s="38" t="s">
        <v>101</v>
      </c>
      <c r="T28" s="194" t="s">
        <v>91</v>
      </c>
      <c r="U28" s="39" t="s">
        <v>150</v>
      </c>
      <c r="V28" s="26"/>
      <c r="W28" s="26"/>
      <c r="X28" s="26"/>
      <c r="Y28" s="26"/>
      <c r="Z28" s="27"/>
      <c r="AA28" s="41"/>
      <c r="AB28" s="114"/>
    </row>
    <row r="29" spans="1:28" s="28" customFormat="1" ht="20.100000000000001" customHeight="1">
      <c r="A29" s="129"/>
      <c r="B29" s="139"/>
      <c r="C29" s="58" t="s">
        <v>148</v>
      </c>
      <c r="D29" s="82">
        <v>105</v>
      </c>
      <c r="E29" s="44" t="s">
        <v>68</v>
      </c>
      <c r="F29" s="83">
        <v>10</v>
      </c>
      <c r="G29" s="82"/>
      <c r="H29" s="44"/>
      <c r="I29" s="83"/>
      <c r="J29" s="46" t="s">
        <v>69</v>
      </c>
      <c r="K29" s="35"/>
      <c r="L29" s="35"/>
      <c r="M29" s="36"/>
      <c r="N29" s="81"/>
      <c r="O29" s="81"/>
      <c r="P29" s="35"/>
      <c r="Q29" s="37"/>
      <c r="R29" s="37">
        <v>1</v>
      </c>
      <c r="S29" s="38" t="s">
        <v>101</v>
      </c>
      <c r="T29" s="194" t="s">
        <v>91</v>
      </c>
      <c r="U29" s="39" t="s">
        <v>149</v>
      </c>
      <c r="V29" s="26"/>
      <c r="W29" s="26"/>
      <c r="X29" s="26"/>
      <c r="Y29" s="26"/>
      <c r="Z29" s="27"/>
      <c r="AA29" s="41"/>
      <c r="AB29" s="114"/>
    </row>
    <row r="30" spans="1:28" s="28" customFormat="1" ht="20.100000000000001" customHeight="1">
      <c r="A30" s="129"/>
      <c r="B30" s="139"/>
      <c r="C30" s="58" t="s">
        <v>148</v>
      </c>
      <c r="D30" s="82">
        <v>106</v>
      </c>
      <c r="E30" s="44" t="s">
        <v>68</v>
      </c>
      <c r="F30" s="83">
        <v>15</v>
      </c>
      <c r="G30" s="82"/>
      <c r="H30" s="44"/>
      <c r="I30" s="83"/>
      <c r="J30" s="46" t="s">
        <v>69</v>
      </c>
      <c r="K30" s="47"/>
      <c r="L30" s="48"/>
      <c r="M30" s="49"/>
      <c r="N30" s="50"/>
      <c r="O30" s="50"/>
      <c r="P30" s="48"/>
      <c r="Q30" s="53"/>
      <c r="R30" s="37">
        <v>1</v>
      </c>
      <c r="S30" s="38" t="s">
        <v>101</v>
      </c>
      <c r="T30" s="194" t="s">
        <v>91</v>
      </c>
      <c r="U30" s="39" t="s">
        <v>149</v>
      </c>
      <c r="V30" s="26"/>
      <c r="W30" s="26"/>
      <c r="X30" s="26"/>
      <c r="Y30" s="26"/>
      <c r="Z30" s="27"/>
      <c r="AA30" s="41"/>
      <c r="AB30" s="114"/>
    </row>
    <row r="31" spans="1:28" s="28" customFormat="1" ht="20.100000000000001" customHeight="1">
      <c r="A31" s="129"/>
      <c r="B31" s="139"/>
      <c r="C31" s="58" t="s">
        <v>148</v>
      </c>
      <c r="D31" s="82">
        <v>106</v>
      </c>
      <c r="E31" s="44" t="s">
        <v>68</v>
      </c>
      <c r="F31" s="83">
        <v>15</v>
      </c>
      <c r="G31" s="82"/>
      <c r="H31" s="44"/>
      <c r="I31" s="83"/>
      <c r="J31" s="46" t="s">
        <v>70</v>
      </c>
      <c r="K31" s="47"/>
      <c r="L31" s="48"/>
      <c r="M31" s="49"/>
      <c r="N31" s="50"/>
      <c r="O31" s="50"/>
      <c r="P31" s="48"/>
      <c r="Q31" s="53"/>
      <c r="R31" s="37">
        <v>1</v>
      </c>
      <c r="S31" s="38" t="s">
        <v>101</v>
      </c>
      <c r="T31" s="194" t="s">
        <v>91</v>
      </c>
      <c r="U31" s="39" t="s">
        <v>149</v>
      </c>
      <c r="V31" s="26"/>
      <c r="W31" s="26"/>
      <c r="X31" s="26"/>
      <c r="Y31" s="26"/>
      <c r="Z31" s="27"/>
      <c r="AA31" s="41"/>
      <c r="AB31" s="114"/>
    </row>
    <row r="32" spans="1:28" s="28" customFormat="1" ht="20.100000000000001" customHeight="1">
      <c r="A32" s="129"/>
      <c r="B32" s="139"/>
      <c r="C32" s="58" t="s">
        <v>148</v>
      </c>
      <c r="D32" s="82">
        <v>108</v>
      </c>
      <c r="E32" s="44" t="s">
        <v>68</v>
      </c>
      <c r="F32" s="83">
        <v>6</v>
      </c>
      <c r="G32" s="82"/>
      <c r="H32" s="44"/>
      <c r="I32" s="83"/>
      <c r="J32" s="46" t="s">
        <v>69</v>
      </c>
      <c r="K32" s="47"/>
      <c r="L32" s="48"/>
      <c r="M32" s="49"/>
      <c r="N32" s="50"/>
      <c r="O32" s="50"/>
      <c r="P32" s="48"/>
      <c r="Q32" s="53"/>
      <c r="R32" s="37">
        <v>1</v>
      </c>
      <c r="S32" s="38" t="s">
        <v>101</v>
      </c>
      <c r="T32" s="194" t="s">
        <v>91</v>
      </c>
      <c r="U32" s="39" t="s">
        <v>147</v>
      </c>
      <c r="V32" s="26"/>
      <c r="W32" s="26"/>
      <c r="X32" s="26"/>
      <c r="Y32" s="26"/>
      <c r="Z32" s="27"/>
      <c r="AA32" s="41"/>
      <c r="AB32" s="114"/>
    </row>
    <row r="33" spans="1:28" s="28" customFormat="1" ht="20.100000000000001" customHeight="1">
      <c r="A33" s="129"/>
      <c r="B33" s="139"/>
      <c r="C33" s="58" t="s">
        <v>148</v>
      </c>
      <c r="D33" s="82">
        <v>108</v>
      </c>
      <c r="E33" s="44" t="s">
        <v>68</v>
      </c>
      <c r="F33" s="83">
        <v>6</v>
      </c>
      <c r="G33" s="82"/>
      <c r="H33" s="44"/>
      <c r="I33" s="83"/>
      <c r="J33" s="46" t="s">
        <v>70</v>
      </c>
      <c r="K33" s="47"/>
      <c r="L33" s="48"/>
      <c r="M33" s="49"/>
      <c r="N33" s="50"/>
      <c r="O33" s="50"/>
      <c r="P33" s="48"/>
      <c r="Q33" s="53"/>
      <c r="R33" s="37">
        <v>1</v>
      </c>
      <c r="S33" s="38" t="s">
        <v>101</v>
      </c>
      <c r="T33" s="194" t="s">
        <v>91</v>
      </c>
      <c r="U33" s="39" t="s">
        <v>147</v>
      </c>
      <c r="V33" s="26"/>
      <c r="W33" s="26"/>
      <c r="X33" s="26"/>
      <c r="Y33" s="26"/>
      <c r="Z33" s="27"/>
      <c r="AA33" s="41"/>
      <c r="AB33" s="114"/>
    </row>
    <row r="34" spans="1:28" s="28" customFormat="1" ht="20.100000000000001" customHeight="1">
      <c r="A34" s="129"/>
      <c r="B34" s="139"/>
      <c r="C34" s="58" t="s">
        <v>148</v>
      </c>
      <c r="D34" s="82">
        <v>111</v>
      </c>
      <c r="E34" s="44" t="s">
        <v>68</v>
      </c>
      <c r="F34" s="83">
        <v>1</v>
      </c>
      <c r="G34" s="82"/>
      <c r="H34" s="44"/>
      <c r="I34" s="83"/>
      <c r="J34" s="46" t="s">
        <v>69</v>
      </c>
      <c r="K34" s="47"/>
      <c r="L34" s="48"/>
      <c r="M34" s="49"/>
      <c r="N34" s="50"/>
      <c r="O34" s="50"/>
      <c r="P34" s="48"/>
      <c r="Q34" s="53"/>
      <c r="R34" s="37">
        <v>1</v>
      </c>
      <c r="S34" s="38" t="s">
        <v>101</v>
      </c>
      <c r="T34" s="194" t="s">
        <v>91</v>
      </c>
      <c r="U34" s="39" t="s">
        <v>147</v>
      </c>
      <c r="V34" s="26"/>
      <c r="W34" s="26"/>
      <c r="X34" s="26"/>
      <c r="Y34" s="26"/>
      <c r="Z34" s="27"/>
      <c r="AA34" s="41"/>
      <c r="AB34" s="114"/>
    </row>
    <row r="35" spans="1:28" s="28" customFormat="1" ht="20.100000000000001" customHeight="1">
      <c r="A35" s="129"/>
      <c r="B35" s="139"/>
      <c r="C35" s="58" t="s">
        <v>148</v>
      </c>
      <c r="D35" s="82">
        <v>111</v>
      </c>
      <c r="E35" s="44" t="s">
        <v>68</v>
      </c>
      <c r="F35" s="83">
        <v>1</v>
      </c>
      <c r="G35" s="82"/>
      <c r="H35" s="44"/>
      <c r="I35" s="83"/>
      <c r="J35" s="46" t="s">
        <v>70</v>
      </c>
      <c r="K35" s="47"/>
      <c r="L35" s="48"/>
      <c r="M35" s="49"/>
      <c r="N35" s="50"/>
      <c r="O35" s="50"/>
      <c r="P35" s="48"/>
      <c r="Q35" s="53"/>
      <c r="R35" s="37">
        <v>1</v>
      </c>
      <c r="S35" s="38" t="s">
        <v>101</v>
      </c>
      <c r="T35" s="194" t="s">
        <v>91</v>
      </c>
      <c r="U35" s="39" t="s">
        <v>147</v>
      </c>
      <c r="V35" s="26"/>
      <c r="W35" s="26"/>
      <c r="X35" s="26"/>
      <c r="Y35" s="26"/>
      <c r="Z35" s="27"/>
      <c r="AA35" s="41"/>
      <c r="AB35" s="114"/>
    </row>
    <row r="36" spans="1:28" s="28" customFormat="1" ht="20.100000000000001" customHeight="1">
      <c r="A36" s="129"/>
      <c r="B36" s="139"/>
      <c r="C36" s="58" t="s">
        <v>148</v>
      </c>
      <c r="D36" s="82">
        <v>112</v>
      </c>
      <c r="E36" s="44" t="s">
        <v>68</v>
      </c>
      <c r="F36" s="83">
        <v>0</v>
      </c>
      <c r="G36" s="82"/>
      <c r="H36" s="44"/>
      <c r="I36" s="83"/>
      <c r="J36" s="46" t="s">
        <v>69</v>
      </c>
      <c r="K36" s="47"/>
      <c r="L36" s="48"/>
      <c r="M36" s="49"/>
      <c r="N36" s="50"/>
      <c r="O36" s="50"/>
      <c r="P36" s="48"/>
      <c r="Q36" s="53"/>
      <c r="R36" s="37">
        <v>1</v>
      </c>
      <c r="S36" s="38" t="s">
        <v>101</v>
      </c>
      <c r="T36" s="194" t="s">
        <v>91</v>
      </c>
      <c r="U36" s="39" t="s">
        <v>147</v>
      </c>
      <c r="V36" s="26"/>
      <c r="W36" s="26"/>
      <c r="X36" s="26"/>
      <c r="Y36" s="26"/>
      <c r="Z36" s="27"/>
      <c r="AA36" s="41"/>
      <c r="AB36" s="114"/>
    </row>
    <row r="37" spans="1:28" s="28" customFormat="1" ht="20.100000000000001" customHeight="1">
      <c r="A37" s="129"/>
      <c r="B37" s="139"/>
      <c r="C37" s="58" t="s">
        <v>148</v>
      </c>
      <c r="D37" s="82">
        <v>112</v>
      </c>
      <c r="E37" s="44" t="s">
        <v>68</v>
      </c>
      <c r="F37" s="83">
        <v>0</v>
      </c>
      <c r="G37" s="82"/>
      <c r="H37" s="44"/>
      <c r="I37" s="83"/>
      <c r="J37" s="46" t="s">
        <v>70</v>
      </c>
      <c r="K37" s="47"/>
      <c r="L37" s="48"/>
      <c r="M37" s="49"/>
      <c r="N37" s="50"/>
      <c r="O37" s="50"/>
      <c r="P37" s="48"/>
      <c r="Q37" s="53"/>
      <c r="R37" s="37">
        <v>1</v>
      </c>
      <c r="S37" s="38" t="s">
        <v>101</v>
      </c>
      <c r="T37" s="194" t="s">
        <v>91</v>
      </c>
      <c r="U37" s="39" t="s">
        <v>147</v>
      </c>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9" customFormat="1" ht="20.100000000000001" customHeight="1">
      <c r="A48" s="14"/>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42"/>
    </row>
    <row r="49" spans="1:28" s="28" customFormat="1" ht="20.100000000000001" customHeight="1">
      <c r="A49" s="129"/>
      <c r="B49" s="139"/>
      <c r="C49" s="79"/>
      <c r="D49" s="85"/>
      <c r="E49" s="86"/>
      <c r="F49" s="87"/>
      <c r="G49" s="85"/>
      <c r="H49" s="86"/>
      <c r="I49" s="87"/>
      <c r="J49" s="138"/>
      <c r="K49" s="137"/>
      <c r="L49" s="134"/>
      <c r="M49" s="136"/>
      <c r="N49" s="135"/>
      <c r="O49" s="135"/>
      <c r="P49" s="134"/>
      <c r="Q49" s="133"/>
      <c r="R49" s="133"/>
      <c r="S49" s="132"/>
      <c r="T49" s="131"/>
      <c r="U49" s="130"/>
      <c r="V49" s="26"/>
      <c r="W49" s="26"/>
      <c r="X49" s="26"/>
      <c r="Y49" s="26"/>
      <c r="Z49" s="27"/>
      <c r="AA49" s="41"/>
      <c r="AB49" s="114"/>
    </row>
    <row r="50" spans="1:28" s="28" customFormat="1" ht="20.100000000000001" customHeight="1">
      <c r="A50" s="129"/>
      <c r="B50" s="128"/>
      <c r="C50" s="127"/>
      <c r="D50" s="126"/>
      <c r="E50" s="125"/>
      <c r="F50" s="124"/>
      <c r="G50" s="126"/>
      <c r="H50" s="125"/>
      <c r="I50" s="124"/>
      <c r="J50" s="123"/>
      <c r="K50" s="122"/>
      <c r="L50" s="119"/>
      <c r="M50" s="121"/>
      <c r="N50" s="120"/>
      <c r="O50" s="120"/>
      <c r="P50" s="119"/>
      <c r="Q50" s="118"/>
      <c r="R50" s="118"/>
      <c r="S50" s="117"/>
      <c r="T50" s="116"/>
      <c r="U50" s="115"/>
      <c r="V50" s="26"/>
      <c r="W50" s="26"/>
      <c r="X50" s="26"/>
      <c r="Y50" s="26"/>
      <c r="Z50" s="27"/>
      <c r="AA50" s="41"/>
      <c r="AB50" s="114"/>
    </row>
    <row r="51" spans="1:28" ht="20.100000000000001" customHeight="1">
      <c r="B51" s="109"/>
      <c r="C51" s="113"/>
      <c r="D51" s="2715" t="s">
        <v>18</v>
      </c>
      <c r="E51" s="2671"/>
      <c r="F51" s="2671"/>
      <c r="G51" s="2671"/>
      <c r="H51" s="2671"/>
      <c r="I51" s="2672"/>
      <c r="J51" s="2723" t="e">
        <f>VLOOKUP(A53,#REF!,6,FALSE)</f>
        <v>#REF!</v>
      </c>
      <c r="K51" s="2695"/>
      <c r="L51" s="112" t="e">
        <f>VLOOKUP(A53,#REF!,4,FALSE)</f>
        <v>#REF!</v>
      </c>
      <c r="M51" s="2724" t="s">
        <v>19</v>
      </c>
      <c r="N51" s="2697"/>
      <c r="O51" s="2697"/>
      <c r="P51" s="2697"/>
      <c r="Q51" s="2698"/>
      <c r="R51" s="111">
        <f>SUM(R14:R50)</f>
        <v>24</v>
      </c>
      <c r="S51" s="110" t="e">
        <f>L51</f>
        <v>#REF!</v>
      </c>
      <c r="T51" s="106"/>
      <c r="U51" s="105"/>
    </row>
    <row r="52" spans="1:28" ht="20.100000000000001" customHeight="1">
      <c r="B52" s="109"/>
      <c r="C52" s="72"/>
      <c r="D52" s="2678" t="s">
        <v>20</v>
      </c>
      <c r="E52" s="2679"/>
      <c r="F52" s="2679"/>
      <c r="G52" s="2679"/>
      <c r="H52" s="2679"/>
      <c r="I52" s="2680"/>
      <c r="J52" s="2699" t="e">
        <f>R51/J51</f>
        <v>#REF!</v>
      </c>
      <c r="K52" s="2700"/>
      <c r="L52" s="2703"/>
      <c r="M52" s="2720" t="s">
        <v>21</v>
      </c>
      <c r="N52" s="2721"/>
      <c r="O52" s="2721"/>
      <c r="P52" s="2721"/>
      <c r="Q52" s="2722"/>
      <c r="R52" s="108">
        <f>SUM(R14:R37)</f>
        <v>24</v>
      </c>
      <c r="S52" s="107" t="e">
        <f>L51</f>
        <v>#REF!</v>
      </c>
      <c r="T52" s="106"/>
      <c r="U52" s="105"/>
    </row>
    <row r="53" spans="1:28" ht="20.100000000000001" customHeight="1">
      <c r="A53" s="12" t="s">
        <v>146</v>
      </c>
      <c r="B53" s="104"/>
      <c r="C53" s="73"/>
      <c r="D53" s="2715"/>
      <c r="E53" s="2671"/>
      <c r="F53" s="2671"/>
      <c r="G53" s="2671"/>
      <c r="H53" s="2671"/>
      <c r="I53" s="2672"/>
      <c r="J53" s="2725"/>
      <c r="K53" s="2702"/>
      <c r="L53" s="2704"/>
      <c r="M53" s="2720" t="s">
        <v>22</v>
      </c>
      <c r="N53" s="2721"/>
      <c r="O53" s="2721"/>
      <c r="P53" s="2721"/>
      <c r="Q53" s="2722"/>
      <c r="R53" s="103">
        <f>R51-R52</f>
        <v>0</v>
      </c>
      <c r="S53" s="102" t="e">
        <f>L51</f>
        <v>#REF!</v>
      </c>
      <c r="T53" s="101"/>
      <c r="U53" s="100"/>
    </row>
  </sheetData>
  <mergeCells count="32">
    <mergeCell ref="C11:L11"/>
    <mergeCell ref="K12:K13"/>
    <mergeCell ref="B1:U5"/>
    <mergeCell ref="V5:AA5"/>
    <mergeCell ref="D52:I53"/>
    <mergeCell ref="J52:K53"/>
    <mergeCell ref="L52:L53"/>
    <mergeCell ref="M52:Q52"/>
    <mergeCell ref="M53:Q53"/>
    <mergeCell ref="D51:I51"/>
    <mergeCell ref="J51:K51"/>
    <mergeCell ref="M51:Q51"/>
    <mergeCell ref="N12:N13"/>
    <mergeCell ref="O12:O13"/>
    <mergeCell ref="Q12:Q13"/>
    <mergeCell ref="M12:M13"/>
    <mergeCell ref="U12:U13"/>
    <mergeCell ref="D13:F13"/>
    <mergeCell ref="G13:I13"/>
    <mergeCell ref="R12:R13"/>
    <mergeCell ref="S12:S13"/>
    <mergeCell ref="T12:T13"/>
    <mergeCell ref="B12:B13"/>
    <mergeCell ref="C12:C13"/>
    <mergeCell ref="D12:I12"/>
    <mergeCell ref="J12:J13"/>
    <mergeCell ref="L12:L13"/>
    <mergeCell ref="B6:J6"/>
    <mergeCell ref="K6:U6"/>
    <mergeCell ref="T8:U8"/>
    <mergeCell ref="T9:U9"/>
    <mergeCell ref="T10:U10"/>
  </mergeCells>
  <conditionalFormatting sqref="J52:K53">
    <cfRule type="cellIs" dxfId="43" priority="1" operator="greaterThanOrEqual">
      <formula>1</formula>
    </cfRule>
    <cfRule type="cellIs" dxfId="42" priority="2" operator="greaterThan">
      <formula>100%</formula>
    </cfRule>
  </conditionalFormatting>
  <printOptions horizontalCentered="1"/>
  <pageMargins left="0.39370078740157483" right="0.39370078740157483" top="0.78740157480314965" bottom="0.78740157480314965" header="0" footer="0.19685039370078741"/>
  <pageSetup paperSize="9" scale="47"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336600"/>
    <pageSetUpPr fitToPage="1"/>
  </sheetPr>
  <dimension ref="A1:AJ53"/>
  <sheetViews>
    <sheetView view="pageBreakPreview" topLeftCell="A7" zoomScale="60" zoomScaleNormal="100" workbookViewId="0">
      <selection activeCell="J52" sqref="J52:K53"/>
    </sheetView>
  </sheetViews>
  <sheetFormatPr defaultRowHeight="12.75"/>
  <cols>
    <col min="1" max="1" width="9.140625" style="12"/>
    <col min="2" max="2" width="14.2851562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5" width="13.5703125" style="8" customWidth="1"/>
    <col min="16" max="16" width="14.5703125" style="8" customWidth="1"/>
    <col min="17" max="18" width="13.5703125" style="8" customWidth="1"/>
    <col min="19" max="19" width="9" style="8" customWidth="1"/>
    <col min="20" max="20" width="12.5703125" style="8" customWidth="1"/>
    <col min="21" max="21" width="38.140625" style="8" bestFit="1" customWidth="1"/>
    <col min="22" max="27" width="9.140625" style="8"/>
    <col min="28" max="28" width="12.7109375" style="15" customWidth="1"/>
    <col min="29" max="16384" width="9.140625" style="8"/>
  </cols>
  <sheetData>
    <row r="1" spans="1:36" ht="18.75" customHeight="1">
      <c r="B1" s="2652" t="s">
        <v>115</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708" t="s">
        <v>9</v>
      </c>
      <c r="C6" s="2709"/>
      <c r="D6" s="2709"/>
      <c r="E6" s="2709"/>
      <c r="F6" s="2709"/>
      <c r="G6" s="2709"/>
      <c r="H6" s="2709"/>
      <c r="I6" s="2709"/>
      <c r="J6" s="2709"/>
      <c r="K6" s="2710" t="s">
        <v>10</v>
      </c>
      <c r="L6" s="2711"/>
      <c r="M6" s="2711"/>
      <c r="N6" s="2711"/>
      <c r="O6" s="2711"/>
      <c r="P6" s="2711"/>
      <c r="Q6" s="2711"/>
      <c r="R6" s="2711"/>
      <c r="S6" s="2711"/>
      <c r="T6" s="2711"/>
      <c r="U6" s="2712"/>
      <c r="V6" s="99"/>
      <c r="W6" s="99"/>
      <c r="X6" s="99"/>
      <c r="Y6" s="99"/>
      <c r="Z6" s="99"/>
      <c r="AA6" s="99"/>
      <c r="AB6" s="17"/>
    </row>
    <row r="7" spans="1:36" s="20" customFormat="1" ht="15.75">
      <c r="A7" s="19"/>
      <c r="B7" s="152" t="s">
        <v>96</v>
      </c>
      <c r="C7" s="149" t="e">
        <f>#REF!</f>
        <v>#REF!</v>
      </c>
      <c r="D7" s="145"/>
      <c r="E7" s="92"/>
      <c r="F7" s="92"/>
      <c r="G7" s="145"/>
      <c r="H7" s="92"/>
      <c r="I7" s="92"/>
      <c r="J7" s="200"/>
      <c r="K7" s="151" t="s">
        <v>190</v>
      </c>
      <c r="L7" s="94"/>
      <c r="M7" s="93"/>
      <c r="N7" s="93"/>
      <c r="O7" s="150"/>
      <c r="P7" s="93"/>
      <c r="Q7" s="93"/>
      <c r="R7" s="93"/>
      <c r="S7" s="94"/>
      <c r="T7" s="94"/>
      <c r="U7" s="95"/>
      <c r="AB7" s="21"/>
    </row>
    <row r="8" spans="1:36" s="20" customFormat="1" ht="15.75">
      <c r="A8" s="19"/>
      <c r="B8" s="148" t="s">
        <v>79</v>
      </c>
      <c r="C8" s="149" t="e">
        <f>#REF!</f>
        <v>#REF!</v>
      </c>
      <c r="D8" s="145"/>
      <c r="E8" s="92"/>
      <c r="F8" s="92"/>
      <c r="G8" s="145"/>
      <c r="H8" s="92"/>
      <c r="I8" s="92"/>
      <c r="J8" s="144"/>
      <c r="K8" s="146" t="s">
        <v>191</v>
      </c>
      <c r="L8" s="145"/>
      <c r="M8" s="145"/>
      <c r="N8" s="96"/>
      <c r="O8" s="96"/>
      <c r="P8" s="96"/>
      <c r="Q8" s="96"/>
      <c r="R8" s="96"/>
      <c r="S8" s="145"/>
      <c r="T8" s="2647"/>
      <c r="U8" s="2648"/>
      <c r="AB8" s="21"/>
    </row>
    <row r="9" spans="1:36" s="20" customFormat="1" ht="15.75">
      <c r="A9" s="19"/>
      <c r="B9" s="148" t="s">
        <v>11</v>
      </c>
      <c r="C9" s="147" t="e">
        <f>VLOOKUP(B9,[0]!_xlnm.Print_Area,2,FALSE)</f>
        <v>#REF!</v>
      </c>
      <c r="D9" s="145"/>
      <c r="E9" s="92"/>
      <c r="F9" s="92"/>
      <c r="G9" s="145"/>
      <c r="H9" s="92"/>
      <c r="I9" s="92"/>
      <c r="J9" s="144"/>
      <c r="K9" s="146" t="s">
        <v>192</v>
      </c>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147" t="e">
        <f>VLOOKUP(B10,[0]!_xlnm.Print_Area,2,FALSE)</f>
        <v>#REF!</v>
      </c>
      <c r="D10" s="145"/>
      <c r="E10" s="92"/>
      <c r="F10" s="92"/>
      <c r="G10" s="145"/>
      <c r="H10" s="92"/>
      <c r="I10" s="92"/>
      <c r="J10" s="201"/>
      <c r="K10" s="146" t="s">
        <v>193</v>
      </c>
      <c r="L10" s="92"/>
      <c r="M10" s="92"/>
      <c r="N10" s="92"/>
      <c r="O10" s="92"/>
      <c r="P10" s="202"/>
      <c r="Q10" s="92"/>
      <c r="R10" s="92"/>
      <c r="S10" s="92"/>
      <c r="T10" s="2660"/>
      <c r="U10" s="2661"/>
      <c r="AA10" s="22"/>
      <c r="AB10" s="22"/>
      <c r="AC10" s="22"/>
      <c r="AD10" s="22"/>
      <c r="AE10" s="22"/>
      <c r="AF10" s="22"/>
      <c r="AG10" s="22"/>
      <c r="AH10" s="22"/>
      <c r="AI10" s="22"/>
      <c r="AJ10" s="22"/>
    </row>
    <row r="11" spans="1:36" s="29" customFormat="1" ht="21" customHeight="1">
      <c r="A11" s="23"/>
      <c r="B11" s="143" t="str">
        <f>LEFT(A53,1)</f>
        <v>5</v>
      </c>
      <c r="C11" s="2713" t="e">
        <f>VLOOKUP(B11,#REF!,3,FALSE)</f>
        <v>#REF!</v>
      </c>
      <c r="D11" s="2714"/>
      <c r="E11" s="2714"/>
      <c r="F11" s="2714"/>
      <c r="G11" s="2714"/>
      <c r="H11" s="2714"/>
      <c r="I11" s="2714"/>
      <c r="J11" s="2714"/>
      <c r="K11" s="2714"/>
      <c r="L11" s="2714"/>
      <c r="M11" s="24"/>
      <c r="N11" s="24"/>
      <c r="O11" s="24"/>
      <c r="P11" s="24"/>
      <c r="Q11" s="24"/>
      <c r="R11" s="24"/>
      <c r="S11" s="24"/>
      <c r="T11" s="24"/>
      <c r="U11" s="25"/>
      <c r="V11" s="26"/>
      <c r="W11" s="26"/>
      <c r="X11" s="26"/>
      <c r="Y11" s="26"/>
      <c r="Z11" s="27"/>
      <c r="AA11" s="28"/>
      <c r="AB11" s="28"/>
      <c r="AC11" s="28"/>
      <c r="AD11" s="28"/>
      <c r="AE11" s="28"/>
      <c r="AF11" s="28"/>
      <c r="AG11" s="28"/>
      <c r="AH11" s="28"/>
      <c r="AI11" s="28"/>
      <c r="AJ11" s="28"/>
    </row>
    <row r="12" spans="1:36" s="29" customFormat="1" ht="25.5" customHeight="1">
      <c r="A12" s="23"/>
      <c r="B12" s="2664" t="e">
        <f>VLOOKUP(A53,#REF!,2,FALSE)</f>
        <v>#REF!</v>
      </c>
      <c r="C12" s="2665" t="e">
        <f>VLOOKUP(A53,#REF!,3,FALSE)</f>
        <v>#REF!</v>
      </c>
      <c r="D12" s="2666" t="s">
        <v>97</v>
      </c>
      <c r="E12" s="2666"/>
      <c r="F12" s="2666"/>
      <c r="G12" s="2666"/>
      <c r="H12" s="2666"/>
      <c r="I12" s="2666"/>
      <c r="J12" s="2668" t="s">
        <v>98</v>
      </c>
      <c r="K12" s="2668" t="s">
        <v>102</v>
      </c>
      <c r="L12" s="2668" t="s">
        <v>103</v>
      </c>
      <c r="M12" s="2668" t="s">
        <v>113</v>
      </c>
      <c r="N12" s="2668" t="s">
        <v>112</v>
      </c>
      <c r="O12" s="2668" t="s">
        <v>107</v>
      </c>
      <c r="P12" s="192" t="s">
        <v>153</v>
      </c>
      <c r="Q12" s="2668" t="s">
        <v>16</v>
      </c>
      <c r="R12" s="2668" t="s">
        <v>2</v>
      </c>
      <c r="S12" s="2668" t="s">
        <v>99</v>
      </c>
      <c r="T12" s="2668" t="s">
        <v>17</v>
      </c>
      <c r="U12" s="2667" t="s">
        <v>110</v>
      </c>
      <c r="V12" s="26"/>
      <c r="W12" s="26"/>
      <c r="X12" s="26"/>
      <c r="Y12" s="26"/>
      <c r="Z12" s="27"/>
      <c r="AA12" s="28"/>
      <c r="AB12" s="28"/>
      <c r="AC12" s="28"/>
      <c r="AD12" s="28"/>
      <c r="AE12" s="28"/>
      <c r="AF12" s="28"/>
      <c r="AG12" s="28"/>
      <c r="AH12" s="28"/>
      <c r="AI12" s="28"/>
      <c r="AJ12" s="28"/>
    </row>
    <row r="13" spans="1:36" s="29" customFormat="1" ht="19.5" customHeight="1">
      <c r="A13" s="23"/>
      <c r="B13" s="2664"/>
      <c r="C13" s="2665"/>
      <c r="D13" s="2669" t="s">
        <v>14</v>
      </c>
      <c r="E13" s="2669"/>
      <c r="F13" s="2669"/>
      <c r="G13" s="2667" t="s">
        <v>15</v>
      </c>
      <c r="H13" s="2667"/>
      <c r="I13" s="2667"/>
      <c r="J13" s="2417"/>
      <c r="K13" s="2417"/>
      <c r="L13" s="2417"/>
      <c r="M13" s="2417"/>
      <c r="N13" s="2417"/>
      <c r="O13" s="2417"/>
      <c r="P13" s="89" t="s">
        <v>104</v>
      </c>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39"/>
      <c r="C14" s="58" t="s">
        <v>155</v>
      </c>
      <c r="D14" s="43">
        <v>219</v>
      </c>
      <c r="E14" s="44" t="s">
        <v>68</v>
      </c>
      <c r="F14" s="45">
        <v>10</v>
      </c>
      <c r="G14" s="43"/>
      <c r="H14" s="44"/>
      <c r="I14" s="45"/>
      <c r="J14" s="46" t="s">
        <v>70</v>
      </c>
      <c r="K14" s="75"/>
      <c r="L14" s="48"/>
      <c r="M14" s="49"/>
      <c r="N14" s="50"/>
      <c r="O14" s="50"/>
      <c r="P14" s="48"/>
      <c r="Q14" s="53"/>
      <c r="R14" s="53">
        <v>1</v>
      </c>
      <c r="S14" s="54" t="s">
        <v>101</v>
      </c>
      <c r="T14" s="141" t="s">
        <v>83</v>
      </c>
      <c r="U14" s="39" t="s">
        <v>157</v>
      </c>
      <c r="V14" s="26"/>
      <c r="W14" s="26"/>
      <c r="X14" s="26"/>
      <c r="Y14" s="26"/>
      <c r="Z14" s="27"/>
    </row>
    <row r="15" spans="1:36" s="28" customFormat="1" ht="20.100000000000001" customHeight="1">
      <c r="A15" s="129"/>
      <c r="B15" s="139"/>
      <c r="C15" s="58" t="s">
        <v>155</v>
      </c>
      <c r="D15" s="43">
        <v>220</v>
      </c>
      <c r="E15" s="44" t="s">
        <v>68</v>
      </c>
      <c r="F15" s="45">
        <v>10</v>
      </c>
      <c r="G15" s="43"/>
      <c r="H15" s="44"/>
      <c r="I15" s="45"/>
      <c r="J15" s="46" t="s">
        <v>70</v>
      </c>
      <c r="K15" s="75"/>
      <c r="L15" s="48"/>
      <c r="M15" s="49"/>
      <c r="N15" s="50"/>
      <c r="O15" s="50"/>
      <c r="P15" s="48"/>
      <c r="Q15" s="53"/>
      <c r="R15" s="53">
        <v>1</v>
      </c>
      <c r="S15" s="54" t="s">
        <v>101</v>
      </c>
      <c r="T15" s="141" t="s">
        <v>83</v>
      </c>
      <c r="U15" s="39" t="s">
        <v>157</v>
      </c>
      <c r="V15" s="26"/>
      <c r="W15" s="26"/>
      <c r="X15" s="26"/>
      <c r="Y15" s="26"/>
      <c r="Z15" s="27"/>
      <c r="AA15" s="41"/>
      <c r="AB15" s="114"/>
    </row>
    <row r="16" spans="1:36" s="28" customFormat="1" ht="20.100000000000001" customHeight="1">
      <c r="A16" s="129"/>
      <c r="B16" s="139"/>
      <c r="C16" s="58" t="s">
        <v>155</v>
      </c>
      <c r="D16" s="43">
        <v>225</v>
      </c>
      <c r="E16" s="44" t="s">
        <v>68</v>
      </c>
      <c r="F16" s="45">
        <v>10</v>
      </c>
      <c r="G16" s="43"/>
      <c r="H16" s="44"/>
      <c r="I16" s="45"/>
      <c r="J16" s="46" t="s">
        <v>70</v>
      </c>
      <c r="K16" s="75"/>
      <c r="L16" s="48"/>
      <c r="M16" s="49"/>
      <c r="N16" s="50"/>
      <c r="O16" s="50"/>
      <c r="P16" s="48"/>
      <c r="Q16" s="53"/>
      <c r="R16" s="53">
        <v>1</v>
      </c>
      <c r="S16" s="54" t="s">
        <v>101</v>
      </c>
      <c r="T16" s="141" t="s">
        <v>83</v>
      </c>
      <c r="U16" s="39" t="s">
        <v>157</v>
      </c>
      <c r="V16" s="26"/>
      <c r="W16" s="26"/>
      <c r="X16" s="26"/>
      <c r="Y16" s="26"/>
      <c r="Z16" s="27"/>
      <c r="AA16" s="41"/>
      <c r="AB16" s="114"/>
    </row>
    <row r="17" spans="1:28" s="28" customFormat="1" ht="20.100000000000001" customHeight="1">
      <c r="A17" s="129"/>
      <c r="B17" s="139"/>
      <c r="C17" s="58" t="s">
        <v>155</v>
      </c>
      <c r="D17" s="43">
        <v>226</v>
      </c>
      <c r="E17" s="44" t="s">
        <v>68</v>
      </c>
      <c r="F17" s="45">
        <v>10</v>
      </c>
      <c r="G17" s="43"/>
      <c r="H17" s="44"/>
      <c r="I17" s="45"/>
      <c r="J17" s="46" t="s">
        <v>70</v>
      </c>
      <c r="K17" s="75"/>
      <c r="L17" s="48"/>
      <c r="M17" s="49"/>
      <c r="N17" s="50"/>
      <c r="O17" s="50"/>
      <c r="P17" s="48"/>
      <c r="Q17" s="53"/>
      <c r="R17" s="53">
        <v>1</v>
      </c>
      <c r="S17" s="54" t="s">
        <v>101</v>
      </c>
      <c r="T17" s="141" t="s">
        <v>83</v>
      </c>
      <c r="U17" s="39" t="s">
        <v>157</v>
      </c>
      <c r="V17" s="26"/>
      <c r="W17" s="26"/>
      <c r="X17" s="26"/>
      <c r="Y17" s="26"/>
      <c r="Z17" s="27"/>
      <c r="AA17" s="41"/>
      <c r="AB17" s="114"/>
    </row>
    <row r="18" spans="1:28" s="28" customFormat="1" ht="20.100000000000001" customHeight="1">
      <c r="A18" s="129"/>
      <c r="B18" s="139"/>
      <c r="C18" s="58" t="s">
        <v>155</v>
      </c>
      <c r="D18" s="43">
        <v>226</v>
      </c>
      <c r="E18" s="44" t="s">
        <v>68</v>
      </c>
      <c r="F18" s="45">
        <v>10</v>
      </c>
      <c r="G18" s="43"/>
      <c r="H18" s="44"/>
      <c r="I18" s="45"/>
      <c r="J18" s="46" t="s">
        <v>70</v>
      </c>
      <c r="K18" s="47"/>
      <c r="L18" s="48"/>
      <c r="M18" s="49"/>
      <c r="N18" s="50"/>
      <c r="O18" s="50"/>
      <c r="P18" s="48"/>
      <c r="Q18" s="53"/>
      <c r="R18" s="53">
        <v>1</v>
      </c>
      <c r="S18" s="54" t="s">
        <v>101</v>
      </c>
      <c r="T18" s="141" t="s">
        <v>83</v>
      </c>
      <c r="U18" s="39" t="s">
        <v>157</v>
      </c>
      <c r="V18" s="26"/>
      <c r="W18" s="26"/>
      <c r="X18" s="26"/>
      <c r="Y18" s="26"/>
      <c r="Z18" s="27"/>
      <c r="AA18" s="41"/>
      <c r="AB18" s="114"/>
    </row>
    <row r="19" spans="1:28" s="28" customFormat="1" ht="20.100000000000001" customHeight="1">
      <c r="A19" s="129"/>
      <c r="B19" s="139"/>
      <c r="C19" s="58" t="s">
        <v>155</v>
      </c>
      <c r="D19" s="43">
        <v>105</v>
      </c>
      <c r="E19" s="44" t="s">
        <v>68</v>
      </c>
      <c r="F19" s="45">
        <v>8</v>
      </c>
      <c r="G19" s="43"/>
      <c r="H19" s="44"/>
      <c r="I19" s="45"/>
      <c r="J19" s="46" t="s">
        <v>70</v>
      </c>
      <c r="K19" s="47"/>
      <c r="L19" s="48"/>
      <c r="M19" s="49"/>
      <c r="N19" s="50"/>
      <c r="O19" s="50"/>
      <c r="P19" s="48"/>
      <c r="Q19" s="53"/>
      <c r="R19" s="53">
        <v>1</v>
      </c>
      <c r="S19" s="54" t="s">
        <v>101</v>
      </c>
      <c r="T19" s="141" t="s">
        <v>85</v>
      </c>
      <c r="U19" s="39" t="s">
        <v>156</v>
      </c>
      <c r="V19" s="26"/>
      <c r="W19" s="26"/>
      <c r="X19" s="26"/>
      <c r="Y19" s="26"/>
      <c r="Z19" s="27"/>
      <c r="AA19" s="41"/>
      <c r="AB19" s="114"/>
    </row>
    <row r="20" spans="1:28" s="28" customFormat="1" ht="20.100000000000001" customHeight="1">
      <c r="A20" s="129"/>
      <c r="B20" s="139"/>
      <c r="C20" s="58" t="s">
        <v>155</v>
      </c>
      <c r="D20" s="43">
        <v>112</v>
      </c>
      <c r="E20" s="44" t="s">
        <v>68</v>
      </c>
      <c r="F20" s="45">
        <v>0</v>
      </c>
      <c r="G20" s="43"/>
      <c r="H20" s="44"/>
      <c r="I20" s="45"/>
      <c r="J20" s="46" t="s">
        <v>105</v>
      </c>
      <c r="K20" s="47"/>
      <c r="L20" s="48"/>
      <c r="M20" s="49"/>
      <c r="N20" s="50"/>
      <c r="O20" s="50"/>
      <c r="P20" s="48"/>
      <c r="Q20" s="53"/>
      <c r="R20" s="53">
        <v>1</v>
      </c>
      <c r="S20" s="54" t="s">
        <v>101</v>
      </c>
      <c r="T20" s="141" t="s">
        <v>91</v>
      </c>
      <c r="U20" s="39" t="s">
        <v>147</v>
      </c>
      <c r="V20" s="26"/>
      <c r="W20" s="26"/>
      <c r="X20" s="26"/>
      <c r="Y20" s="26"/>
      <c r="Z20" s="27"/>
      <c r="AA20" s="41"/>
      <c r="AB20" s="114"/>
    </row>
    <row r="21" spans="1:28" s="28" customFormat="1" ht="20.100000000000001" customHeight="1">
      <c r="A21" s="129"/>
      <c r="B21" s="139"/>
      <c r="C21" s="79"/>
      <c r="D21" s="85"/>
      <c r="E21" s="86"/>
      <c r="F21" s="87"/>
      <c r="G21" s="85"/>
      <c r="H21" s="86"/>
      <c r="I21" s="87"/>
      <c r="J21" s="138"/>
      <c r="K21" s="137"/>
      <c r="L21" s="134"/>
      <c r="M21" s="136"/>
      <c r="N21" s="135"/>
      <c r="O21" s="135"/>
      <c r="P21" s="134"/>
      <c r="Q21" s="133"/>
      <c r="R21" s="133"/>
      <c r="S21" s="132"/>
      <c r="T21" s="131"/>
      <c r="U21" s="130"/>
      <c r="V21" s="26"/>
      <c r="W21" s="26"/>
      <c r="X21" s="26"/>
      <c r="Y21" s="26"/>
      <c r="Z21" s="27"/>
      <c r="AA21" s="41"/>
      <c r="AB21" s="114"/>
    </row>
    <row r="22" spans="1:28" s="28" customFormat="1" ht="20.100000000000001" customHeight="1">
      <c r="A22" s="129"/>
      <c r="B22" s="139"/>
      <c r="C22" s="79"/>
      <c r="D22" s="85"/>
      <c r="E22" s="86"/>
      <c r="F22" s="87"/>
      <c r="G22" s="85"/>
      <c r="H22" s="86"/>
      <c r="I22" s="87"/>
      <c r="J22" s="138"/>
      <c r="K22" s="137"/>
      <c r="L22" s="134"/>
      <c r="M22" s="136"/>
      <c r="N22" s="135"/>
      <c r="O22" s="135"/>
      <c r="P22" s="134"/>
      <c r="Q22" s="133"/>
      <c r="R22" s="133"/>
      <c r="S22" s="132"/>
      <c r="T22" s="131"/>
      <c r="U22" s="130"/>
      <c r="V22" s="26"/>
      <c r="W22" s="26"/>
      <c r="X22" s="26"/>
      <c r="Y22" s="26"/>
      <c r="Z22" s="27"/>
      <c r="AA22" s="41"/>
      <c r="AB22" s="114"/>
    </row>
    <row r="23" spans="1:28" s="28" customFormat="1" ht="20.100000000000001" customHeight="1">
      <c r="A23" s="129"/>
      <c r="B23" s="139"/>
      <c r="C23" s="79"/>
      <c r="D23" s="85"/>
      <c r="E23" s="86"/>
      <c r="F23" s="87"/>
      <c r="G23" s="85"/>
      <c r="H23" s="86"/>
      <c r="I23" s="87"/>
      <c r="J23" s="138"/>
      <c r="K23" s="137"/>
      <c r="L23" s="134"/>
      <c r="M23" s="136"/>
      <c r="N23" s="135"/>
      <c r="O23" s="135"/>
      <c r="P23" s="134"/>
      <c r="Q23" s="133"/>
      <c r="R23" s="133"/>
      <c r="S23" s="132"/>
      <c r="T23" s="131"/>
      <c r="U23" s="130"/>
      <c r="V23" s="26"/>
      <c r="W23" s="26"/>
      <c r="X23" s="26"/>
      <c r="Y23" s="26"/>
      <c r="Z23" s="27"/>
      <c r="AA23" s="41"/>
      <c r="AB23" s="114"/>
    </row>
    <row r="24" spans="1:28" s="28" customFormat="1" ht="20.100000000000001" customHeight="1">
      <c r="A24" s="129"/>
      <c r="B24" s="139"/>
      <c r="C24" s="79"/>
      <c r="D24" s="85"/>
      <c r="E24" s="86"/>
      <c r="F24" s="87"/>
      <c r="G24" s="85"/>
      <c r="H24" s="86"/>
      <c r="I24" s="87"/>
      <c r="J24" s="138"/>
      <c r="K24" s="137"/>
      <c r="L24" s="134"/>
      <c r="M24" s="136"/>
      <c r="N24" s="135"/>
      <c r="O24" s="135"/>
      <c r="P24" s="134"/>
      <c r="Q24" s="133"/>
      <c r="R24" s="133"/>
      <c r="S24" s="132"/>
      <c r="T24" s="131"/>
      <c r="U24" s="130"/>
      <c r="V24" s="26"/>
      <c r="W24" s="26"/>
      <c r="X24" s="26"/>
      <c r="Y24" s="26"/>
      <c r="Z24" s="27"/>
      <c r="AA24" s="41"/>
      <c r="AB24" s="114"/>
    </row>
    <row r="25" spans="1:28" s="28" customFormat="1" ht="20.100000000000001" customHeight="1">
      <c r="A25" s="129"/>
      <c r="B25" s="139"/>
      <c r="C25" s="79"/>
      <c r="D25" s="85"/>
      <c r="E25" s="86"/>
      <c r="F25" s="87"/>
      <c r="G25" s="85"/>
      <c r="H25" s="86"/>
      <c r="I25" s="87"/>
      <c r="J25" s="138"/>
      <c r="K25" s="137"/>
      <c r="L25" s="134"/>
      <c r="M25" s="136"/>
      <c r="N25" s="135"/>
      <c r="O25" s="135"/>
      <c r="P25" s="134"/>
      <c r="Q25" s="133"/>
      <c r="R25" s="133"/>
      <c r="S25" s="132"/>
      <c r="T25" s="131"/>
      <c r="U25" s="130"/>
      <c r="V25" s="26"/>
      <c r="W25" s="26"/>
      <c r="X25" s="26"/>
      <c r="Y25" s="26"/>
      <c r="Z25" s="27"/>
      <c r="AA25" s="41"/>
      <c r="AB25" s="114"/>
    </row>
    <row r="26" spans="1:28" s="28" customFormat="1" ht="20.100000000000001" customHeight="1">
      <c r="A26" s="129"/>
      <c r="B26" s="139"/>
      <c r="C26" s="79"/>
      <c r="D26" s="85"/>
      <c r="E26" s="86"/>
      <c r="F26" s="87"/>
      <c r="G26" s="85"/>
      <c r="H26" s="86"/>
      <c r="I26" s="87"/>
      <c r="J26" s="138"/>
      <c r="K26" s="137"/>
      <c r="L26" s="134"/>
      <c r="M26" s="136"/>
      <c r="N26" s="135"/>
      <c r="O26" s="135"/>
      <c r="P26" s="134"/>
      <c r="Q26" s="133"/>
      <c r="R26" s="133"/>
      <c r="S26" s="132"/>
      <c r="T26" s="131"/>
      <c r="U26" s="130"/>
      <c r="V26" s="26"/>
      <c r="W26" s="26"/>
      <c r="X26" s="26"/>
      <c r="Y26" s="26"/>
      <c r="Z26" s="27"/>
      <c r="AA26" s="41"/>
      <c r="AB26" s="114"/>
    </row>
    <row r="27" spans="1:28" s="28" customFormat="1" ht="20.100000000000001" customHeight="1">
      <c r="A27" s="129"/>
      <c r="B27" s="139"/>
      <c r="C27" s="79"/>
      <c r="D27" s="85"/>
      <c r="E27" s="86"/>
      <c r="F27" s="87"/>
      <c r="G27" s="85"/>
      <c r="H27" s="86"/>
      <c r="I27" s="87"/>
      <c r="J27" s="138"/>
      <c r="K27" s="137"/>
      <c r="L27" s="134"/>
      <c r="M27" s="136"/>
      <c r="N27" s="135"/>
      <c r="O27" s="135"/>
      <c r="P27" s="134"/>
      <c r="Q27" s="133"/>
      <c r="R27" s="133"/>
      <c r="S27" s="132"/>
      <c r="T27" s="131"/>
      <c r="U27" s="130"/>
      <c r="V27" s="26"/>
      <c r="W27" s="26"/>
      <c r="X27" s="26"/>
      <c r="Y27" s="26"/>
      <c r="Z27" s="27"/>
      <c r="AA27" s="41"/>
      <c r="AB27" s="114"/>
    </row>
    <row r="28" spans="1:28" s="28" customFormat="1" ht="20.100000000000001" customHeight="1">
      <c r="A28" s="129"/>
      <c r="B28" s="139"/>
      <c r="C28" s="79"/>
      <c r="D28" s="85"/>
      <c r="E28" s="86"/>
      <c r="F28" s="87"/>
      <c r="G28" s="85"/>
      <c r="H28" s="86"/>
      <c r="I28" s="87"/>
      <c r="J28" s="138"/>
      <c r="K28" s="137"/>
      <c r="L28" s="134"/>
      <c r="M28" s="136"/>
      <c r="N28" s="135"/>
      <c r="O28" s="135"/>
      <c r="P28" s="134"/>
      <c r="Q28" s="133"/>
      <c r="R28" s="133"/>
      <c r="S28" s="132"/>
      <c r="T28" s="131"/>
      <c r="U28" s="130"/>
      <c r="V28" s="26"/>
      <c r="W28" s="26"/>
      <c r="X28" s="26"/>
      <c r="Y28" s="26"/>
      <c r="Z28" s="27"/>
      <c r="AA28" s="41"/>
      <c r="AB28" s="114"/>
    </row>
    <row r="29" spans="1:28" s="28" customFormat="1" ht="20.100000000000001" customHeight="1">
      <c r="A29" s="129"/>
      <c r="B29" s="139"/>
      <c r="C29" s="79"/>
      <c r="D29" s="85"/>
      <c r="E29" s="86"/>
      <c r="F29" s="87"/>
      <c r="G29" s="85"/>
      <c r="H29" s="86"/>
      <c r="I29" s="87"/>
      <c r="J29" s="138"/>
      <c r="K29" s="137"/>
      <c r="L29" s="134"/>
      <c r="M29" s="136"/>
      <c r="N29" s="135"/>
      <c r="O29" s="135"/>
      <c r="P29" s="134"/>
      <c r="Q29" s="133"/>
      <c r="R29" s="133"/>
      <c r="S29" s="132"/>
      <c r="T29" s="131"/>
      <c r="U29" s="130"/>
      <c r="V29" s="26"/>
      <c r="W29" s="26"/>
      <c r="X29" s="26"/>
      <c r="Y29" s="26"/>
      <c r="Z29" s="27"/>
      <c r="AA29" s="41"/>
      <c r="AB29" s="114"/>
    </row>
    <row r="30" spans="1:28" s="28" customFormat="1" ht="20.100000000000001" customHeight="1">
      <c r="A30" s="129"/>
      <c r="B30" s="139"/>
      <c r="C30" s="79"/>
      <c r="D30" s="85"/>
      <c r="E30" s="86"/>
      <c r="F30" s="87"/>
      <c r="G30" s="85"/>
      <c r="H30" s="86"/>
      <c r="I30" s="87"/>
      <c r="J30" s="138"/>
      <c r="K30" s="137"/>
      <c r="L30" s="134"/>
      <c r="M30" s="136"/>
      <c r="N30" s="135"/>
      <c r="O30" s="135"/>
      <c r="P30" s="134"/>
      <c r="Q30" s="133"/>
      <c r="R30" s="133"/>
      <c r="S30" s="132"/>
      <c r="T30" s="131"/>
      <c r="U30" s="130"/>
      <c r="V30" s="26"/>
      <c r="W30" s="26"/>
      <c r="X30" s="26"/>
      <c r="Y30" s="26"/>
      <c r="Z30" s="27"/>
      <c r="AA30" s="41"/>
      <c r="AB30" s="114"/>
    </row>
    <row r="31" spans="1:28" s="28" customFormat="1" ht="20.100000000000001" customHeight="1">
      <c r="A31" s="129"/>
      <c r="B31" s="139"/>
      <c r="C31" s="79"/>
      <c r="D31" s="85"/>
      <c r="E31" s="86"/>
      <c r="F31" s="87"/>
      <c r="G31" s="85"/>
      <c r="H31" s="86"/>
      <c r="I31" s="87"/>
      <c r="J31" s="138"/>
      <c r="K31" s="137"/>
      <c r="L31" s="134"/>
      <c r="M31" s="136"/>
      <c r="N31" s="135"/>
      <c r="O31" s="135"/>
      <c r="P31" s="134"/>
      <c r="Q31" s="133"/>
      <c r="R31" s="133"/>
      <c r="S31" s="132"/>
      <c r="T31" s="131"/>
      <c r="U31" s="130"/>
      <c r="V31" s="26"/>
      <c r="W31" s="26"/>
      <c r="X31" s="26"/>
      <c r="Y31" s="26"/>
      <c r="Z31" s="27"/>
      <c r="AA31" s="41"/>
      <c r="AB31" s="114"/>
    </row>
    <row r="32" spans="1:28" s="28" customFormat="1" ht="20.100000000000001" customHeight="1">
      <c r="A32" s="129"/>
      <c r="B32" s="139"/>
      <c r="C32" s="79"/>
      <c r="D32" s="85"/>
      <c r="E32" s="86"/>
      <c r="F32" s="87"/>
      <c r="G32" s="85"/>
      <c r="H32" s="86"/>
      <c r="I32" s="87"/>
      <c r="J32" s="138"/>
      <c r="K32" s="137"/>
      <c r="L32" s="134"/>
      <c r="M32" s="136"/>
      <c r="N32" s="135"/>
      <c r="O32" s="135"/>
      <c r="P32" s="134"/>
      <c r="Q32" s="133"/>
      <c r="R32" s="133"/>
      <c r="S32" s="132"/>
      <c r="T32" s="131"/>
      <c r="U32" s="130"/>
      <c r="V32" s="26"/>
      <c r="W32" s="26"/>
      <c r="X32" s="26"/>
      <c r="Y32" s="26"/>
      <c r="Z32" s="27"/>
      <c r="AA32" s="41"/>
      <c r="AB32" s="114"/>
    </row>
    <row r="33" spans="1:28" s="28" customFormat="1" ht="20.100000000000001" customHeight="1">
      <c r="A33" s="129"/>
      <c r="B33" s="139"/>
      <c r="C33" s="79"/>
      <c r="D33" s="85"/>
      <c r="E33" s="86"/>
      <c r="F33" s="87"/>
      <c r="G33" s="85"/>
      <c r="H33" s="86"/>
      <c r="I33" s="87"/>
      <c r="J33" s="138"/>
      <c r="K33" s="137"/>
      <c r="L33" s="134"/>
      <c r="M33" s="136"/>
      <c r="N33" s="135"/>
      <c r="O33" s="135"/>
      <c r="P33" s="134"/>
      <c r="Q33" s="133"/>
      <c r="R33" s="133"/>
      <c r="S33" s="132"/>
      <c r="T33" s="131"/>
      <c r="U33" s="130"/>
      <c r="V33" s="26"/>
      <c r="W33" s="26"/>
      <c r="X33" s="26"/>
      <c r="Y33" s="26"/>
      <c r="Z33" s="27"/>
      <c r="AA33" s="41"/>
      <c r="AB33" s="114"/>
    </row>
    <row r="34" spans="1:28" s="28" customFormat="1" ht="20.100000000000001" customHeight="1">
      <c r="A34" s="129"/>
      <c r="B34" s="139"/>
      <c r="C34" s="79"/>
      <c r="D34" s="85"/>
      <c r="E34" s="86"/>
      <c r="F34" s="87"/>
      <c r="G34" s="85"/>
      <c r="H34" s="86"/>
      <c r="I34" s="87"/>
      <c r="J34" s="138"/>
      <c r="K34" s="137"/>
      <c r="L34" s="134"/>
      <c r="M34" s="136"/>
      <c r="N34" s="135"/>
      <c r="O34" s="135"/>
      <c r="P34" s="134"/>
      <c r="Q34" s="133"/>
      <c r="R34" s="133"/>
      <c r="S34" s="132"/>
      <c r="T34" s="131"/>
      <c r="U34" s="130"/>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133"/>
      <c r="R35" s="133"/>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133"/>
      <c r="R36" s="133"/>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133"/>
      <c r="R37" s="133"/>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9" customFormat="1" ht="20.100000000000001" customHeight="1">
      <c r="A48" s="14"/>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42"/>
    </row>
    <row r="49" spans="1:28" s="28" customFormat="1" ht="20.100000000000001" customHeight="1">
      <c r="A49" s="129"/>
      <c r="B49" s="139"/>
      <c r="C49" s="79"/>
      <c r="D49" s="85"/>
      <c r="E49" s="86"/>
      <c r="F49" s="87"/>
      <c r="G49" s="85"/>
      <c r="H49" s="86"/>
      <c r="I49" s="87"/>
      <c r="J49" s="138"/>
      <c r="K49" s="137"/>
      <c r="L49" s="134"/>
      <c r="M49" s="136"/>
      <c r="N49" s="135"/>
      <c r="O49" s="135"/>
      <c r="P49" s="134"/>
      <c r="Q49" s="133"/>
      <c r="R49" s="133"/>
      <c r="S49" s="132"/>
      <c r="T49" s="131"/>
      <c r="U49" s="130"/>
      <c r="V49" s="26"/>
      <c r="W49" s="26"/>
      <c r="X49" s="26"/>
      <c r="Y49" s="26"/>
      <c r="Z49" s="27"/>
      <c r="AA49" s="41"/>
      <c r="AB49" s="114"/>
    </row>
    <row r="50" spans="1:28" s="28" customFormat="1" ht="20.100000000000001" customHeight="1">
      <c r="A50" s="129"/>
      <c r="B50" s="128"/>
      <c r="C50" s="127"/>
      <c r="D50" s="126"/>
      <c r="E50" s="125"/>
      <c r="F50" s="124"/>
      <c r="G50" s="126"/>
      <c r="H50" s="125"/>
      <c r="I50" s="124"/>
      <c r="J50" s="123"/>
      <c r="K50" s="122"/>
      <c r="L50" s="119"/>
      <c r="M50" s="121"/>
      <c r="N50" s="120"/>
      <c r="O50" s="120"/>
      <c r="P50" s="119"/>
      <c r="Q50" s="118"/>
      <c r="R50" s="118"/>
      <c r="S50" s="117"/>
      <c r="T50" s="116"/>
      <c r="U50" s="115"/>
      <c r="V50" s="26"/>
      <c r="W50" s="26"/>
      <c r="X50" s="26"/>
      <c r="Y50" s="26"/>
      <c r="Z50" s="27"/>
      <c r="AA50" s="41"/>
      <c r="AB50" s="114"/>
    </row>
    <row r="51" spans="1:28" ht="20.100000000000001" customHeight="1">
      <c r="B51" s="109"/>
      <c r="C51" s="113"/>
      <c r="D51" s="2715" t="s">
        <v>18</v>
      </c>
      <c r="E51" s="2671"/>
      <c r="F51" s="2671"/>
      <c r="G51" s="2671"/>
      <c r="H51" s="2671"/>
      <c r="I51" s="2672"/>
      <c r="J51" s="2723" t="e">
        <f>VLOOKUP(A53,#REF!,6,FALSE)</f>
        <v>#REF!</v>
      </c>
      <c r="K51" s="2695"/>
      <c r="L51" s="112" t="e">
        <f>VLOOKUP(A53,#REF!,4,FALSE)</f>
        <v>#REF!</v>
      </c>
      <c r="M51" s="2724" t="s">
        <v>19</v>
      </c>
      <c r="N51" s="2697"/>
      <c r="O51" s="2697"/>
      <c r="P51" s="2697"/>
      <c r="Q51" s="2698"/>
      <c r="R51" s="111">
        <f>SUM(R14:R50)</f>
        <v>7</v>
      </c>
      <c r="S51" s="110" t="e">
        <f>L51</f>
        <v>#REF!</v>
      </c>
      <c r="T51" s="106"/>
      <c r="U51" s="105"/>
    </row>
    <row r="52" spans="1:28" ht="20.100000000000001" customHeight="1">
      <c r="B52" s="109"/>
      <c r="C52" s="72"/>
      <c r="D52" s="2678" t="s">
        <v>20</v>
      </c>
      <c r="E52" s="2679"/>
      <c r="F52" s="2679"/>
      <c r="G52" s="2679"/>
      <c r="H52" s="2679"/>
      <c r="I52" s="2680"/>
      <c r="J52" s="2699" t="e">
        <f>R51/J51</f>
        <v>#REF!</v>
      </c>
      <c r="K52" s="2700"/>
      <c r="L52" s="2703"/>
      <c r="M52" s="2720" t="s">
        <v>21</v>
      </c>
      <c r="N52" s="2721"/>
      <c r="O52" s="2721"/>
      <c r="P52" s="2721"/>
      <c r="Q52" s="2722"/>
      <c r="R52" s="108">
        <f>SUM(R14:R20)</f>
        <v>7</v>
      </c>
      <c r="S52" s="107" t="e">
        <f>L51</f>
        <v>#REF!</v>
      </c>
      <c r="T52" s="106"/>
      <c r="U52" s="105"/>
    </row>
    <row r="53" spans="1:28" ht="20.100000000000001" customHeight="1">
      <c r="A53" s="12" t="s">
        <v>154</v>
      </c>
      <c r="B53" s="104"/>
      <c r="C53" s="73"/>
      <c r="D53" s="2715"/>
      <c r="E53" s="2671"/>
      <c r="F53" s="2671"/>
      <c r="G53" s="2671"/>
      <c r="H53" s="2671"/>
      <c r="I53" s="2672"/>
      <c r="J53" s="2725"/>
      <c r="K53" s="2702"/>
      <c r="L53" s="2704"/>
      <c r="M53" s="2720" t="s">
        <v>22</v>
      </c>
      <c r="N53" s="2721"/>
      <c r="O53" s="2721"/>
      <c r="P53" s="2721"/>
      <c r="Q53" s="2722"/>
      <c r="R53" s="103">
        <f>R51-R52</f>
        <v>0</v>
      </c>
      <c r="S53" s="102" t="e">
        <f>L51</f>
        <v>#REF!</v>
      </c>
      <c r="T53" s="101"/>
      <c r="U53" s="100"/>
    </row>
  </sheetData>
  <mergeCells count="32">
    <mergeCell ref="C11:L11"/>
    <mergeCell ref="K12:K13"/>
    <mergeCell ref="B1:U5"/>
    <mergeCell ref="V5:AA5"/>
    <mergeCell ref="D52:I53"/>
    <mergeCell ref="J52:K53"/>
    <mergeCell ref="L52:L53"/>
    <mergeCell ref="M52:Q52"/>
    <mergeCell ref="M53:Q53"/>
    <mergeCell ref="D51:I51"/>
    <mergeCell ref="J51:K51"/>
    <mergeCell ref="M51:Q51"/>
    <mergeCell ref="N12:N13"/>
    <mergeCell ref="O12:O13"/>
    <mergeCell ref="Q12:Q13"/>
    <mergeCell ref="M12:M13"/>
    <mergeCell ref="U12:U13"/>
    <mergeCell ref="D13:F13"/>
    <mergeCell ref="G13:I13"/>
    <mergeCell ref="R12:R13"/>
    <mergeCell ref="S12:S13"/>
    <mergeCell ref="T12:T13"/>
    <mergeCell ref="B12:B13"/>
    <mergeCell ref="C12:C13"/>
    <mergeCell ref="D12:I12"/>
    <mergeCell ref="J12:J13"/>
    <mergeCell ref="L12:L13"/>
    <mergeCell ref="B6:J6"/>
    <mergeCell ref="K6:U6"/>
    <mergeCell ref="T8:U8"/>
    <mergeCell ref="T9:U9"/>
    <mergeCell ref="T10:U10"/>
  </mergeCells>
  <conditionalFormatting sqref="J52:K53">
    <cfRule type="cellIs" dxfId="41" priority="1" operator="greaterThanOrEqual">
      <formula>1</formula>
    </cfRule>
    <cfRule type="cellIs" dxfId="40" priority="2" operator="greaterThan">
      <formula>100%</formula>
    </cfRule>
  </conditionalFormatting>
  <printOptions horizontalCentered="1"/>
  <pageMargins left="0.39370078740157483" right="0.39370078740157483" top="0.78740157480314965" bottom="0.78740157480314965" header="0" footer="0.19685039370078741"/>
  <pageSetup paperSize="9" scale="47" firstPageNumber="39"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336600"/>
    <pageSetUpPr fitToPage="1"/>
  </sheetPr>
  <dimension ref="A1:AJ52"/>
  <sheetViews>
    <sheetView view="pageBreakPreview" topLeftCell="A4" zoomScale="60" zoomScaleNormal="100" workbookViewId="0">
      <selection activeCell="J51" sqref="J51:K52"/>
    </sheetView>
  </sheetViews>
  <sheetFormatPr defaultRowHeight="12.75"/>
  <cols>
    <col min="1" max="1" width="9.140625" style="12"/>
    <col min="2" max="2" width="18.7109375" style="74" bestFit="1"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8" width="13.7109375" style="8" customWidth="1"/>
    <col min="19" max="19" width="9" style="8" customWidth="1"/>
    <col min="20" max="20" width="13.7109375" style="8" customWidth="1"/>
    <col min="21" max="21" width="38.140625" style="8" bestFit="1" customWidth="1"/>
    <col min="22" max="27" width="9.140625" style="8"/>
    <col min="28" max="28" width="12.7109375" style="15" customWidth="1"/>
    <col min="29" max="16384" width="9.140625" style="8"/>
  </cols>
  <sheetData>
    <row r="1" spans="1:36" ht="18.75" customHeight="1">
      <c r="B1" s="2652" t="s">
        <v>115</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708" t="s">
        <v>9</v>
      </c>
      <c r="C6" s="2709"/>
      <c r="D6" s="2709"/>
      <c r="E6" s="2709"/>
      <c r="F6" s="2709"/>
      <c r="G6" s="2709"/>
      <c r="H6" s="2709"/>
      <c r="I6" s="2709"/>
      <c r="J6" s="2709"/>
      <c r="K6" s="2710" t="s">
        <v>10</v>
      </c>
      <c r="L6" s="2711"/>
      <c r="M6" s="2711"/>
      <c r="N6" s="2711"/>
      <c r="O6" s="2711"/>
      <c r="P6" s="2711"/>
      <c r="Q6" s="2711"/>
      <c r="R6" s="2711"/>
      <c r="S6" s="2711"/>
      <c r="T6" s="2711"/>
      <c r="U6" s="2712"/>
      <c r="V6" s="99"/>
      <c r="W6" s="99"/>
      <c r="X6" s="99"/>
      <c r="Y6" s="99"/>
      <c r="Z6" s="99"/>
      <c r="AA6" s="99"/>
      <c r="AB6" s="17"/>
    </row>
    <row r="7" spans="1:36" s="20" customFormat="1" ht="15.75">
      <c r="A7" s="19"/>
      <c r="B7" s="152" t="s">
        <v>96</v>
      </c>
      <c r="C7" s="149" t="e">
        <f>#REF!</f>
        <v>#REF!</v>
      </c>
      <c r="D7" s="145"/>
      <c r="E7" s="92"/>
      <c r="F7" s="92"/>
      <c r="G7" s="145"/>
      <c r="H7" s="92"/>
      <c r="I7" s="92"/>
      <c r="J7" s="200"/>
      <c r="K7" s="151" t="s">
        <v>190</v>
      </c>
      <c r="L7" s="94"/>
      <c r="M7" s="93"/>
      <c r="N7" s="93"/>
      <c r="O7" s="150"/>
      <c r="P7" s="93"/>
      <c r="Q7" s="93"/>
      <c r="R7" s="93"/>
      <c r="S7" s="94"/>
      <c r="T7" s="94"/>
      <c r="U7" s="95"/>
      <c r="AB7" s="21"/>
    </row>
    <row r="8" spans="1:36" s="20" customFormat="1" ht="15.75">
      <c r="A8" s="19"/>
      <c r="B8" s="148" t="s">
        <v>79</v>
      </c>
      <c r="C8" s="149" t="e">
        <f>#REF!</f>
        <v>#REF!</v>
      </c>
      <c r="D8" s="145"/>
      <c r="E8" s="92"/>
      <c r="F8" s="92"/>
      <c r="G8" s="145"/>
      <c r="H8" s="92"/>
      <c r="I8" s="92"/>
      <c r="J8" s="144"/>
      <c r="K8" s="146" t="s">
        <v>191</v>
      </c>
      <c r="L8" s="145"/>
      <c r="M8" s="145"/>
      <c r="N8" s="96"/>
      <c r="O8" s="96"/>
      <c r="P8" s="96"/>
      <c r="Q8" s="96"/>
      <c r="R8" s="96"/>
      <c r="S8" s="145"/>
      <c r="T8" s="2647"/>
      <c r="U8" s="2648"/>
      <c r="AB8" s="21"/>
    </row>
    <row r="9" spans="1:36" s="20" customFormat="1" ht="15.75">
      <c r="A9" s="19"/>
      <c r="B9" s="148" t="s">
        <v>11</v>
      </c>
      <c r="C9" s="147" t="e">
        <f>VLOOKUP(B9,[0]!_xlnm.Print_Area,2,FALSE)</f>
        <v>#REF!</v>
      </c>
      <c r="D9" s="145"/>
      <c r="E9" s="92"/>
      <c r="F9" s="92"/>
      <c r="G9" s="145"/>
      <c r="H9" s="92"/>
      <c r="I9" s="92"/>
      <c r="J9" s="144"/>
      <c r="K9" s="146" t="s">
        <v>192</v>
      </c>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147" t="e">
        <f>VLOOKUP(B10,[0]!_xlnm.Print_Area,2,FALSE)</f>
        <v>#REF!</v>
      </c>
      <c r="D10" s="145"/>
      <c r="E10" s="92"/>
      <c r="F10" s="92"/>
      <c r="G10" s="145"/>
      <c r="H10" s="92"/>
      <c r="I10" s="92"/>
      <c r="J10" s="201"/>
      <c r="K10" s="146" t="s">
        <v>193</v>
      </c>
      <c r="L10" s="92"/>
      <c r="M10" s="92"/>
      <c r="N10" s="92"/>
      <c r="O10" s="92"/>
      <c r="P10" s="202"/>
      <c r="Q10" s="92"/>
      <c r="R10" s="92"/>
      <c r="S10" s="92"/>
      <c r="T10" s="2660"/>
      <c r="U10" s="2661"/>
      <c r="AA10" s="22"/>
      <c r="AB10" s="22"/>
      <c r="AC10" s="22"/>
      <c r="AD10" s="22"/>
      <c r="AE10" s="22"/>
      <c r="AF10" s="22"/>
      <c r="AG10" s="22"/>
      <c r="AH10" s="22"/>
      <c r="AI10" s="22"/>
      <c r="AJ10" s="22"/>
    </row>
    <row r="11" spans="1:36" s="29" customFormat="1" ht="21" customHeight="1">
      <c r="A11" s="23"/>
      <c r="B11" s="143" t="str">
        <f>LEFT(A52,1)</f>
        <v>5</v>
      </c>
      <c r="C11" s="2713" t="e">
        <f>VLOOKUP(B11,#REF!,3,FALSE)</f>
        <v>#REF!</v>
      </c>
      <c r="D11" s="2714"/>
      <c r="E11" s="2714"/>
      <c r="F11" s="2714"/>
      <c r="G11" s="2714"/>
      <c r="H11" s="2714"/>
      <c r="I11" s="2714"/>
      <c r="J11" s="2714"/>
      <c r="K11" s="2714"/>
      <c r="L11" s="2714"/>
      <c r="M11" s="24"/>
      <c r="N11" s="24"/>
      <c r="O11" s="24"/>
      <c r="P11" s="24"/>
      <c r="Q11" s="24"/>
      <c r="R11" s="24"/>
      <c r="S11" s="24"/>
      <c r="T11" s="24"/>
      <c r="U11" s="25"/>
      <c r="V11" s="26"/>
      <c r="W11" s="26"/>
      <c r="X11" s="26"/>
      <c r="Y11" s="26"/>
      <c r="Z11" s="27"/>
      <c r="AA11" s="28"/>
      <c r="AB11" s="28"/>
      <c r="AC11" s="28"/>
      <c r="AD11" s="28"/>
      <c r="AE11" s="28"/>
      <c r="AF11" s="28"/>
      <c r="AG11" s="28"/>
      <c r="AH11" s="28"/>
      <c r="AI11" s="28"/>
      <c r="AJ11" s="28"/>
    </row>
    <row r="12" spans="1:36" s="29" customFormat="1" ht="20.100000000000001" customHeight="1">
      <c r="A12" s="23"/>
      <c r="B12" s="2664" t="e">
        <f>VLOOKUP(A52,#REF!,2,FALSE)</f>
        <v>#REF!</v>
      </c>
      <c r="C12" s="2665" t="e">
        <f>VLOOKUP(A52,#REF!,3,FALSE)</f>
        <v>#REF!</v>
      </c>
      <c r="D12" s="2666" t="s">
        <v>97</v>
      </c>
      <c r="E12" s="2666"/>
      <c r="F12" s="2666"/>
      <c r="G12" s="2666"/>
      <c r="H12" s="2666"/>
      <c r="I12" s="2666"/>
      <c r="J12" s="2668" t="s">
        <v>98</v>
      </c>
      <c r="K12" s="2668" t="s">
        <v>102</v>
      </c>
      <c r="L12" s="2668" t="s">
        <v>103</v>
      </c>
      <c r="M12" s="2668" t="s">
        <v>113</v>
      </c>
      <c r="N12" s="2668" t="s">
        <v>112</v>
      </c>
      <c r="O12" s="2668" t="s">
        <v>107</v>
      </c>
      <c r="P12" s="2668" t="s">
        <v>111</v>
      </c>
      <c r="Q12" s="2668" t="s">
        <v>16</v>
      </c>
      <c r="R12" s="2668" t="s">
        <v>2</v>
      </c>
      <c r="S12" s="2668" t="s">
        <v>99</v>
      </c>
      <c r="T12" s="2668" t="s">
        <v>17</v>
      </c>
      <c r="U12" s="2667" t="s">
        <v>110</v>
      </c>
      <c r="V12" s="26"/>
      <c r="W12" s="26"/>
      <c r="X12" s="26"/>
      <c r="Y12" s="26"/>
      <c r="Z12" s="27"/>
      <c r="AA12" s="28"/>
      <c r="AB12" s="28"/>
      <c r="AC12" s="28"/>
      <c r="AD12" s="28"/>
      <c r="AE12" s="28"/>
      <c r="AF12" s="28"/>
      <c r="AG12" s="28"/>
      <c r="AH12" s="28"/>
      <c r="AI12" s="28"/>
      <c r="AJ12" s="28"/>
    </row>
    <row r="13" spans="1:36" s="29" customFormat="1" ht="20.100000000000001" customHeight="1">
      <c r="A13" s="23"/>
      <c r="B13" s="2664"/>
      <c r="C13" s="2665"/>
      <c r="D13" s="2669" t="s">
        <v>14</v>
      </c>
      <c r="E13" s="2669"/>
      <c r="F13" s="2669"/>
      <c r="G13" s="2667" t="s">
        <v>15</v>
      </c>
      <c r="H13" s="2667"/>
      <c r="I13" s="2667"/>
      <c r="J13" s="2417"/>
      <c r="K13" s="2417"/>
      <c r="L13" s="2417"/>
      <c r="M13" s="2417"/>
      <c r="N13" s="2417"/>
      <c r="O13" s="2417"/>
      <c r="P13" s="2417"/>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57"/>
      <c r="C14" s="58" t="s">
        <v>159</v>
      </c>
      <c r="D14" s="82">
        <v>223</v>
      </c>
      <c r="E14" s="142" t="s">
        <v>68</v>
      </c>
      <c r="F14" s="83">
        <v>15</v>
      </c>
      <c r="G14" s="82">
        <v>226</v>
      </c>
      <c r="H14" s="142" t="s">
        <v>68</v>
      </c>
      <c r="I14" s="83">
        <v>15</v>
      </c>
      <c r="J14" s="46"/>
      <c r="K14" s="35">
        <v>60</v>
      </c>
      <c r="L14" s="48"/>
      <c r="M14" s="49"/>
      <c r="N14" s="50"/>
      <c r="O14" s="50"/>
      <c r="P14" s="48"/>
      <c r="Q14" s="53"/>
      <c r="R14" s="53">
        <v>60</v>
      </c>
      <c r="S14" s="54" t="s">
        <v>8</v>
      </c>
      <c r="T14" s="141" t="s">
        <v>87</v>
      </c>
      <c r="U14" s="39" t="s">
        <v>150</v>
      </c>
      <c r="V14" s="26"/>
      <c r="W14" s="26"/>
      <c r="X14" s="26"/>
      <c r="Y14" s="26"/>
      <c r="Z14" s="27"/>
    </row>
    <row r="15" spans="1:36" s="28" customFormat="1" ht="20.100000000000001" customHeight="1">
      <c r="A15" s="129"/>
      <c r="B15" s="139"/>
      <c r="C15" s="58" t="s">
        <v>159</v>
      </c>
      <c r="D15" s="82">
        <v>220</v>
      </c>
      <c r="E15" s="142" t="s">
        <v>68</v>
      </c>
      <c r="F15" s="83">
        <v>0</v>
      </c>
      <c r="G15" s="82">
        <v>223</v>
      </c>
      <c r="H15" s="142" t="s">
        <v>68</v>
      </c>
      <c r="I15" s="83">
        <v>15</v>
      </c>
      <c r="J15" s="46"/>
      <c r="K15" s="35">
        <v>75</v>
      </c>
      <c r="L15" s="48"/>
      <c r="M15" s="49"/>
      <c r="N15" s="50"/>
      <c r="O15" s="50"/>
      <c r="P15" s="48"/>
      <c r="Q15" s="53"/>
      <c r="R15" s="53">
        <v>75</v>
      </c>
      <c r="S15" s="54" t="s">
        <v>8</v>
      </c>
      <c r="T15" s="141" t="s">
        <v>90</v>
      </c>
      <c r="U15" s="39" t="s">
        <v>147</v>
      </c>
      <c r="V15" s="26"/>
      <c r="W15" s="26"/>
      <c r="X15" s="26"/>
      <c r="Y15" s="26"/>
      <c r="Z15" s="27"/>
      <c r="AA15" s="41"/>
      <c r="AB15" s="114"/>
    </row>
    <row r="16" spans="1:36" s="28" customFormat="1" ht="20.100000000000001" customHeight="1">
      <c r="A16" s="129"/>
      <c r="B16" s="57"/>
      <c r="C16" s="58" t="s">
        <v>159</v>
      </c>
      <c r="D16" s="82">
        <v>219</v>
      </c>
      <c r="E16" s="142" t="s">
        <v>68</v>
      </c>
      <c r="F16" s="83">
        <v>10</v>
      </c>
      <c r="G16" s="82">
        <v>220</v>
      </c>
      <c r="H16" s="142" t="s">
        <v>68</v>
      </c>
      <c r="I16" s="83">
        <v>0</v>
      </c>
      <c r="J16" s="46"/>
      <c r="K16" s="35">
        <v>12</v>
      </c>
      <c r="L16" s="48"/>
      <c r="M16" s="49"/>
      <c r="N16" s="50"/>
      <c r="O16" s="50"/>
      <c r="P16" s="48"/>
      <c r="Q16" s="53"/>
      <c r="R16" s="53">
        <v>12</v>
      </c>
      <c r="S16" s="54" t="s">
        <v>8</v>
      </c>
      <c r="T16" s="141" t="s">
        <v>91</v>
      </c>
      <c r="U16" s="39" t="s">
        <v>150</v>
      </c>
      <c r="V16" s="26"/>
      <c r="W16" s="26"/>
      <c r="X16" s="26"/>
      <c r="Y16" s="26"/>
      <c r="Z16" s="27"/>
      <c r="AA16" s="41"/>
      <c r="AB16" s="114"/>
    </row>
    <row r="17" spans="1:28" s="28" customFormat="1" ht="20.100000000000001" customHeight="1">
      <c r="A17" s="129"/>
      <c r="B17" s="139"/>
      <c r="C17" s="79"/>
      <c r="D17" s="85"/>
      <c r="E17" s="86"/>
      <c r="F17" s="87"/>
      <c r="G17" s="85"/>
      <c r="H17" s="86"/>
      <c r="I17" s="87"/>
      <c r="J17" s="138"/>
      <c r="K17" s="193"/>
      <c r="L17" s="134"/>
      <c r="M17" s="136"/>
      <c r="N17" s="135"/>
      <c r="O17" s="135"/>
      <c r="P17" s="134"/>
      <c r="Q17" s="133"/>
      <c r="R17" s="133"/>
      <c r="S17" s="132"/>
      <c r="T17" s="131"/>
      <c r="U17" s="130"/>
      <c r="V17" s="26"/>
      <c r="W17" s="26"/>
      <c r="X17" s="26"/>
      <c r="Y17" s="26"/>
      <c r="Z17" s="27"/>
      <c r="AA17" s="41"/>
      <c r="AB17" s="114"/>
    </row>
    <row r="18" spans="1:28" s="28" customFormat="1" ht="20.100000000000001" customHeight="1">
      <c r="A18" s="129"/>
      <c r="B18" s="139"/>
      <c r="C18" s="79"/>
      <c r="D18" s="85"/>
      <c r="E18" s="86"/>
      <c r="F18" s="87"/>
      <c r="G18" s="85"/>
      <c r="H18" s="86"/>
      <c r="I18" s="87"/>
      <c r="J18" s="138"/>
      <c r="K18" s="137"/>
      <c r="L18" s="134"/>
      <c r="M18" s="136"/>
      <c r="N18" s="135"/>
      <c r="O18" s="135"/>
      <c r="P18" s="134"/>
      <c r="Q18" s="133"/>
      <c r="R18" s="133"/>
      <c r="S18" s="132"/>
      <c r="T18" s="131"/>
      <c r="U18" s="130"/>
      <c r="V18" s="26"/>
      <c r="W18" s="26"/>
      <c r="X18" s="26"/>
      <c r="Y18" s="26"/>
      <c r="Z18" s="27"/>
      <c r="AA18" s="41"/>
      <c r="AB18" s="114"/>
    </row>
    <row r="19" spans="1:28" s="28" customFormat="1" ht="20.100000000000001" customHeight="1">
      <c r="A19" s="129"/>
      <c r="B19" s="139"/>
      <c r="C19" s="79"/>
      <c r="D19" s="85"/>
      <c r="E19" s="86"/>
      <c r="F19" s="87"/>
      <c r="G19" s="85"/>
      <c r="H19" s="86"/>
      <c r="I19" s="87"/>
      <c r="J19" s="138"/>
      <c r="K19" s="137"/>
      <c r="L19" s="134"/>
      <c r="M19" s="136"/>
      <c r="N19" s="135"/>
      <c r="O19" s="135"/>
      <c r="P19" s="134"/>
      <c r="Q19" s="133"/>
      <c r="R19" s="133"/>
      <c r="S19" s="132"/>
      <c r="T19" s="131"/>
      <c r="U19" s="130"/>
      <c r="V19" s="26"/>
      <c r="W19" s="26"/>
      <c r="X19" s="26"/>
      <c r="Y19" s="26"/>
      <c r="Z19" s="27"/>
      <c r="AA19" s="41"/>
      <c r="AB19" s="114"/>
    </row>
    <row r="20" spans="1:28" s="28" customFormat="1" ht="20.100000000000001" customHeight="1">
      <c r="A20" s="129"/>
      <c r="B20" s="139"/>
      <c r="C20" s="79"/>
      <c r="D20" s="85"/>
      <c r="E20" s="86"/>
      <c r="F20" s="87"/>
      <c r="G20" s="85"/>
      <c r="H20" s="86"/>
      <c r="I20" s="87"/>
      <c r="J20" s="138"/>
      <c r="K20" s="137"/>
      <c r="L20" s="134"/>
      <c r="M20" s="136"/>
      <c r="N20" s="135"/>
      <c r="O20" s="135"/>
      <c r="P20" s="134"/>
      <c r="Q20" s="133"/>
      <c r="R20" s="133"/>
      <c r="S20" s="132"/>
      <c r="T20" s="131"/>
      <c r="U20" s="130"/>
      <c r="V20" s="26"/>
      <c r="W20" s="26"/>
      <c r="X20" s="26"/>
      <c r="Y20" s="26"/>
      <c r="Z20" s="27"/>
      <c r="AA20" s="41"/>
      <c r="AB20" s="114"/>
    </row>
    <row r="21" spans="1:28" s="28" customFormat="1" ht="20.100000000000001" customHeight="1">
      <c r="A21" s="129"/>
      <c r="B21" s="139"/>
      <c r="C21" s="79"/>
      <c r="D21" s="85"/>
      <c r="E21" s="86"/>
      <c r="F21" s="87"/>
      <c r="G21" s="85"/>
      <c r="H21" s="86"/>
      <c r="I21" s="87"/>
      <c r="J21" s="138"/>
      <c r="K21" s="137"/>
      <c r="L21" s="134"/>
      <c r="M21" s="136"/>
      <c r="N21" s="135"/>
      <c r="O21" s="135"/>
      <c r="P21" s="134"/>
      <c r="Q21" s="133"/>
      <c r="R21" s="133"/>
      <c r="S21" s="132"/>
      <c r="T21" s="131"/>
      <c r="U21" s="130"/>
      <c r="V21" s="26"/>
      <c r="W21" s="26"/>
      <c r="X21" s="26"/>
      <c r="Y21" s="26"/>
      <c r="Z21" s="27"/>
      <c r="AA21" s="41"/>
      <c r="AB21" s="114"/>
    </row>
    <row r="22" spans="1:28" s="28" customFormat="1" ht="20.100000000000001" customHeight="1">
      <c r="A22" s="129"/>
      <c r="B22" s="139"/>
      <c r="C22" s="79"/>
      <c r="D22" s="85"/>
      <c r="E22" s="86"/>
      <c r="F22" s="87"/>
      <c r="G22" s="85"/>
      <c r="H22" s="86"/>
      <c r="I22" s="87"/>
      <c r="J22" s="138"/>
      <c r="K22" s="137"/>
      <c r="L22" s="134"/>
      <c r="M22" s="136"/>
      <c r="N22" s="135"/>
      <c r="O22" s="135"/>
      <c r="P22" s="134"/>
      <c r="Q22" s="133"/>
      <c r="R22" s="133"/>
      <c r="S22" s="132"/>
      <c r="T22" s="131"/>
      <c r="U22" s="130"/>
      <c r="V22" s="26"/>
      <c r="W22" s="26"/>
      <c r="X22" s="26"/>
      <c r="Y22" s="26"/>
      <c r="Z22" s="27"/>
      <c r="AA22" s="41"/>
      <c r="AB22" s="114"/>
    </row>
    <row r="23" spans="1:28" s="28" customFormat="1" ht="20.100000000000001" customHeight="1">
      <c r="A23" s="129"/>
      <c r="B23" s="139"/>
      <c r="C23" s="79"/>
      <c r="D23" s="85"/>
      <c r="E23" s="86"/>
      <c r="F23" s="87"/>
      <c r="G23" s="85"/>
      <c r="H23" s="86"/>
      <c r="I23" s="87"/>
      <c r="J23" s="138"/>
      <c r="K23" s="137"/>
      <c r="L23" s="134"/>
      <c r="M23" s="136"/>
      <c r="N23" s="135"/>
      <c r="O23" s="135"/>
      <c r="P23" s="134"/>
      <c r="Q23" s="133"/>
      <c r="R23" s="133"/>
      <c r="S23" s="132"/>
      <c r="T23" s="131"/>
      <c r="U23" s="130"/>
      <c r="V23" s="26"/>
      <c r="W23" s="26"/>
      <c r="X23" s="26"/>
      <c r="Y23" s="26"/>
      <c r="Z23" s="27"/>
      <c r="AA23" s="41"/>
      <c r="AB23" s="114"/>
    </row>
    <row r="24" spans="1:28" s="28" customFormat="1" ht="20.100000000000001" customHeight="1">
      <c r="A24" s="129"/>
      <c r="B24" s="139"/>
      <c r="C24" s="79"/>
      <c r="D24" s="85"/>
      <c r="E24" s="86"/>
      <c r="F24" s="87"/>
      <c r="G24" s="85"/>
      <c r="H24" s="86"/>
      <c r="I24" s="87"/>
      <c r="J24" s="138"/>
      <c r="K24" s="137"/>
      <c r="L24" s="134"/>
      <c r="M24" s="136"/>
      <c r="N24" s="135"/>
      <c r="O24" s="135"/>
      <c r="P24" s="134"/>
      <c r="Q24" s="133"/>
      <c r="R24" s="133"/>
      <c r="S24" s="132"/>
      <c r="T24" s="131"/>
      <c r="U24" s="130"/>
      <c r="V24" s="26"/>
      <c r="W24" s="26"/>
      <c r="X24" s="26"/>
      <c r="Y24" s="26"/>
      <c r="Z24" s="27"/>
      <c r="AA24" s="41"/>
      <c r="AB24" s="114"/>
    </row>
    <row r="25" spans="1:28" s="28" customFormat="1" ht="20.100000000000001" customHeight="1">
      <c r="A25" s="129"/>
      <c r="B25" s="139"/>
      <c r="C25" s="79"/>
      <c r="D25" s="85"/>
      <c r="E25" s="86"/>
      <c r="F25" s="87"/>
      <c r="G25" s="85"/>
      <c r="H25" s="86"/>
      <c r="I25" s="87"/>
      <c r="J25" s="138"/>
      <c r="K25" s="137"/>
      <c r="L25" s="134"/>
      <c r="M25" s="136"/>
      <c r="N25" s="135"/>
      <c r="O25" s="135"/>
      <c r="P25" s="134"/>
      <c r="Q25" s="133"/>
      <c r="R25" s="133"/>
      <c r="S25" s="154"/>
      <c r="T25" s="153"/>
      <c r="U25" s="130"/>
      <c r="V25" s="26"/>
      <c r="W25" s="26"/>
      <c r="X25" s="26"/>
      <c r="Y25" s="26"/>
      <c r="Z25" s="27"/>
      <c r="AA25" s="41"/>
      <c r="AB25" s="114"/>
    </row>
    <row r="26" spans="1:28" s="28" customFormat="1" ht="20.100000000000001" customHeight="1">
      <c r="A26" s="129"/>
      <c r="B26" s="139"/>
      <c r="C26" s="79"/>
      <c r="D26" s="85"/>
      <c r="E26" s="86"/>
      <c r="F26" s="87"/>
      <c r="G26" s="85"/>
      <c r="H26" s="86"/>
      <c r="I26" s="87"/>
      <c r="J26" s="138"/>
      <c r="K26" s="137"/>
      <c r="L26" s="134"/>
      <c r="M26" s="136"/>
      <c r="N26" s="135"/>
      <c r="O26" s="135"/>
      <c r="P26" s="134"/>
      <c r="Q26" s="133"/>
      <c r="R26" s="133"/>
      <c r="S26" s="132"/>
      <c r="T26" s="131"/>
      <c r="U26" s="130"/>
      <c r="V26" s="26"/>
      <c r="W26" s="26"/>
      <c r="X26" s="26"/>
      <c r="Y26" s="26"/>
      <c r="Z26" s="27"/>
      <c r="AA26" s="41"/>
      <c r="AB26" s="114"/>
    </row>
    <row r="27" spans="1:28" s="28" customFormat="1" ht="20.100000000000001" customHeight="1">
      <c r="A27" s="129"/>
      <c r="B27" s="139"/>
      <c r="C27" s="79"/>
      <c r="D27" s="85"/>
      <c r="E27" s="86"/>
      <c r="F27" s="87"/>
      <c r="G27" s="85"/>
      <c r="H27" s="86"/>
      <c r="I27" s="87"/>
      <c r="J27" s="138"/>
      <c r="K27" s="137"/>
      <c r="L27" s="134"/>
      <c r="M27" s="136"/>
      <c r="N27" s="135"/>
      <c r="O27" s="135"/>
      <c r="P27" s="134"/>
      <c r="Q27" s="133"/>
      <c r="R27" s="133"/>
      <c r="S27" s="132"/>
      <c r="T27" s="131"/>
      <c r="U27" s="130"/>
      <c r="V27" s="26"/>
      <c r="W27" s="26"/>
      <c r="X27" s="26"/>
      <c r="Y27" s="26"/>
      <c r="Z27" s="27"/>
      <c r="AA27" s="41"/>
      <c r="AB27" s="114"/>
    </row>
    <row r="28" spans="1:28" s="28" customFormat="1" ht="20.100000000000001" customHeight="1">
      <c r="A28" s="129"/>
      <c r="B28" s="139"/>
      <c r="C28" s="79"/>
      <c r="D28" s="85"/>
      <c r="E28" s="86"/>
      <c r="F28" s="87"/>
      <c r="G28" s="85"/>
      <c r="H28" s="86"/>
      <c r="I28" s="87"/>
      <c r="J28" s="138"/>
      <c r="K28" s="137"/>
      <c r="L28" s="134"/>
      <c r="M28" s="136"/>
      <c r="N28" s="135"/>
      <c r="O28" s="135"/>
      <c r="P28" s="134"/>
      <c r="Q28" s="133"/>
      <c r="R28" s="133"/>
      <c r="S28" s="132"/>
      <c r="T28" s="131"/>
      <c r="U28" s="130"/>
      <c r="V28" s="26"/>
      <c r="W28" s="26"/>
      <c r="X28" s="26"/>
      <c r="Y28" s="26"/>
      <c r="Z28" s="27"/>
      <c r="AA28" s="41"/>
      <c r="AB28" s="114"/>
    </row>
    <row r="29" spans="1:28" s="28" customFormat="1" ht="20.100000000000001" customHeight="1">
      <c r="A29" s="129"/>
      <c r="B29" s="139"/>
      <c r="C29" s="79"/>
      <c r="D29" s="85"/>
      <c r="E29" s="86"/>
      <c r="F29" s="87"/>
      <c r="G29" s="85"/>
      <c r="H29" s="86"/>
      <c r="I29" s="87"/>
      <c r="J29" s="138"/>
      <c r="K29" s="137"/>
      <c r="L29" s="134"/>
      <c r="M29" s="136"/>
      <c r="N29" s="135"/>
      <c r="O29" s="135"/>
      <c r="P29" s="134"/>
      <c r="Q29" s="133"/>
      <c r="R29" s="133"/>
      <c r="S29" s="132"/>
      <c r="T29" s="131"/>
      <c r="U29" s="130"/>
      <c r="V29" s="26"/>
      <c r="W29" s="26"/>
      <c r="X29" s="26"/>
      <c r="Y29" s="26"/>
      <c r="Z29" s="27"/>
      <c r="AA29" s="41"/>
      <c r="AB29" s="114"/>
    </row>
    <row r="30" spans="1:28" s="28" customFormat="1" ht="20.100000000000001" customHeight="1">
      <c r="A30" s="129"/>
      <c r="B30" s="139"/>
      <c r="C30" s="79"/>
      <c r="D30" s="85"/>
      <c r="E30" s="86"/>
      <c r="F30" s="87"/>
      <c r="G30" s="85"/>
      <c r="H30" s="86"/>
      <c r="I30" s="87"/>
      <c r="J30" s="138"/>
      <c r="K30" s="137"/>
      <c r="L30" s="134"/>
      <c r="M30" s="136"/>
      <c r="N30" s="135"/>
      <c r="O30" s="135"/>
      <c r="P30" s="134"/>
      <c r="Q30" s="133"/>
      <c r="R30" s="133"/>
      <c r="S30" s="132"/>
      <c r="T30" s="131"/>
      <c r="U30" s="130"/>
      <c r="V30" s="26"/>
      <c r="W30" s="26"/>
      <c r="X30" s="26"/>
      <c r="Y30" s="26"/>
      <c r="Z30" s="27"/>
      <c r="AA30" s="41"/>
      <c r="AB30" s="114"/>
    </row>
    <row r="31" spans="1:28" s="28" customFormat="1" ht="20.100000000000001" customHeight="1">
      <c r="A31" s="129"/>
      <c r="B31" s="139"/>
      <c r="C31" s="79"/>
      <c r="D31" s="85"/>
      <c r="E31" s="86"/>
      <c r="F31" s="87"/>
      <c r="G31" s="85"/>
      <c r="H31" s="86"/>
      <c r="I31" s="87"/>
      <c r="J31" s="138"/>
      <c r="K31" s="137"/>
      <c r="L31" s="134"/>
      <c r="M31" s="136"/>
      <c r="N31" s="135"/>
      <c r="O31" s="135"/>
      <c r="P31" s="134"/>
      <c r="Q31" s="133"/>
      <c r="R31" s="133"/>
      <c r="S31" s="132"/>
      <c r="T31" s="131"/>
      <c r="U31" s="130"/>
      <c r="V31" s="26"/>
      <c r="W31" s="26"/>
      <c r="X31" s="26"/>
      <c r="Y31" s="26"/>
      <c r="Z31" s="27"/>
      <c r="AA31" s="41"/>
      <c r="AB31" s="114"/>
    </row>
    <row r="32" spans="1:28" s="28" customFormat="1" ht="20.100000000000001" customHeight="1">
      <c r="A32" s="129"/>
      <c r="B32" s="139"/>
      <c r="C32" s="79"/>
      <c r="D32" s="85"/>
      <c r="E32" s="86"/>
      <c r="F32" s="87"/>
      <c r="G32" s="85"/>
      <c r="H32" s="86"/>
      <c r="I32" s="87"/>
      <c r="J32" s="138"/>
      <c r="K32" s="137"/>
      <c r="L32" s="134"/>
      <c r="M32" s="136"/>
      <c r="N32" s="135"/>
      <c r="O32" s="135"/>
      <c r="P32" s="134"/>
      <c r="Q32" s="133"/>
      <c r="R32" s="133"/>
      <c r="S32" s="132"/>
      <c r="T32" s="131"/>
      <c r="U32" s="130"/>
      <c r="V32" s="26"/>
      <c r="W32" s="26"/>
      <c r="X32" s="26"/>
      <c r="Y32" s="26"/>
      <c r="Z32" s="27"/>
      <c r="AA32" s="41"/>
      <c r="AB32" s="114"/>
    </row>
    <row r="33" spans="1:28" s="28" customFormat="1" ht="20.100000000000001" customHeight="1">
      <c r="A33" s="129"/>
      <c r="B33" s="139"/>
      <c r="C33" s="79"/>
      <c r="D33" s="85"/>
      <c r="E33" s="86"/>
      <c r="F33" s="87"/>
      <c r="G33" s="85"/>
      <c r="H33" s="86"/>
      <c r="I33" s="87"/>
      <c r="J33" s="138"/>
      <c r="K33" s="137"/>
      <c r="L33" s="134"/>
      <c r="M33" s="136"/>
      <c r="N33" s="135"/>
      <c r="O33" s="135"/>
      <c r="P33" s="134"/>
      <c r="Q33" s="133"/>
      <c r="R33" s="133"/>
      <c r="S33" s="132"/>
      <c r="T33" s="131"/>
      <c r="U33" s="130"/>
      <c r="V33" s="26"/>
      <c r="W33" s="26"/>
      <c r="X33" s="26"/>
      <c r="Y33" s="26"/>
      <c r="Z33" s="27"/>
      <c r="AA33" s="41"/>
      <c r="AB33" s="114"/>
    </row>
    <row r="34" spans="1:28" s="28" customFormat="1" ht="20.100000000000001" customHeight="1">
      <c r="A34" s="129"/>
      <c r="B34" s="139"/>
      <c r="C34" s="79"/>
      <c r="D34" s="85"/>
      <c r="E34" s="86"/>
      <c r="F34" s="87"/>
      <c r="G34" s="85"/>
      <c r="H34" s="86"/>
      <c r="I34" s="87"/>
      <c r="J34" s="138"/>
      <c r="K34" s="137"/>
      <c r="L34" s="134"/>
      <c r="M34" s="136"/>
      <c r="N34" s="135"/>
      <c r="O34" s="135"/>
      <c r="P34" s="134"/>
      <c r="Q34" s="133"/>
      <c r="R34" s="133"/>
      <c r="S34" s="132"/>
      <c r="T34" s="131"/>
      <c r="U34" s="130"/>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133"/>
      <c r="R35" s="133"/>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133"/>
      <c r="R36" s="133"/>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133"/>
      <c r="R37" s="133"/>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9" customFormat="1" ht="20.100000000000001" customHeight="1">
      <c r="A48" s="14"/>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42"/>
    </row>
    <row r="49" spans="1:28" s="28" customFormat="1" ht="20.100000000000001" customHeight="1">
      <c r="A49" s="129"/>
      <c r="B49" s="128"/>
      <c r="C49" s="127"/>
      <c r="D49" s="126"/>
      <c r="E49" s="125"/>
      <c r="F49" s="124"/>
      <c r="G49" s="126"/>
      <c r="H49" s="125"/>
      <c r="I49" s="124"/>
      <c r="J49" s="123"/>
      <c r="K49" s="122"/>
      <c r="L49" s="119"/>
      <c r="M49" s="121"/>
      <c r="N49" s="120"/>
      <c r="O49" s="120"/>
      <c r="P49" s="119"/>
      <c r="Q49" s="118"/>
      <c r="R49" s="118"/>
      <c r="S49" s="117"/>
      <c r="T49" s="116"/>
      <c r="U49" s="115"/>
      <c r="V49" s="26"/>
      <c r="W49" s="26"/>
      <c r="X49" s="26"/>
      <c r="Y49" s="26"/>
      <c r="Z49" s="27"/>
      <c r="AA49" s="41"/>
      <c r="AB49" s="114"/>
    </row>
    <row r="50" spans="1:28" ht="20.100000000000001" customHeight="1">
      <c r="B50" s="109"/>
      <c r="C50" s="113"/>
      <c r="D50" s="2715" t="s">
        <v>18</v>
      </c>
      <c r="E50" s="2671"/>
      <c r="F50" s="2671"/>
      <c r="G50" s="2671"/>
      <c r="H50" s="2671"/>
      <c r="I50" s="2672"/>
      <c r="J50" s="2723" t="e">
        <f>VLOOKUP(A52,#REF!,6,FALSE)</f>
        <v>#REF!</v>
      </c>
      <c r="K50" s="2695"/>
      <c r="L50" s="112" t="e">
        <f>VLOOKUP(A52,#REF!,4,FALSE)</f>
        <v>#REF!</v>
      </c>
      <c r="M50" s="2724" t="s">
        <v>19</v>
      </c>
      <c r="N50" s="2697"/>
      <c r="O50" s="2697"/>
      <c r="P50" s="2697"/>
      <c r="Q50" s="2698"/>
      <c r="R50" s="111">
        <f>SUM(R14:R49)</f>
        <v>147</v>
      </c>
      <c r="S50" s="110" t="e">
        <f>L50</f>
        <v>#REF!</v>
      </c>
      <c r="T50" s="106"/>
      <c r="U50" s="105"/>
    </row>
    <row r="51" spans="1:28" ht="20.100000000000001" customHeight="1">
      <c r="B51" s="109"/>
      <c r="C51" s="72"/>
      <c r="D51" s="2678" t="s">
        <v>20</v>
      </c>
      <c r="E51" s="2679"/>
      <c r="F51" s="2679"/>
      <c r="G51" s="2679"/>
      <c r="H51" s="2679"/>
      <c r="I51" s="2680"/>
      <c r="J51" s="2699" t="e">
        <f>R50/J50</f>
        <v>#REF!</v>
      </c>
      <c r="K51" s="2700"/>
      <c r="L51" s="2703"/>
      <c r="M51" s="2720" t="s">
        <v>21</v>
      </c>
      <c r="N51" s="2721"/>
      <c r="O51" s="2721"/>
      <c r="P51" s="2721"/>
      <c r="Q51" s="2722"/>
      <c r="R51" s="108">
        <f>SUM(R14:R16)</f>
        <v>147</v>
      </c>
      <c r="S51" s="107" t="e">
        <f>L50</f>
        <v>#REF!</v>
      </c>
      <c r="T51" s="106"/>
      <c r="U51" s="105"/>
    </row>
    <row r="52" spans="1:28" ht="20.100000000000001" customHeight="1">
      <c r="A52" s="12" t="s">
        <v>158</v>
      </c>
      <c r="B52" s="104"/>
      <c r="C52" s="73"/>
      <c r="D52" s="2715"/>
      <c r="E52" s="2671"/>
      <c r="F52" s="2671"/>
      <c r="G52" s="2671"/>
      <c r="H52" s="2671"/>
      <c r="I52" s="2672"/>
      <c r="J52" s="2725"/>
      <c r="K52" s="2702"/>
      <c r="L52" s="2704"/>
      <c r="M52" s="2720" t="s">
        <v>22</v>
      </c>
      <c r="N52" s="2721"/>
      <c r="O52" s="2721"/>
      <c r="P52" s="2721"/>
      <c r="Q52" s="2722"/>
      <c r="R52" s="103">
        <f>R50-R51</f>
        <v>0</v>
      </c>
      <c r="S52" s="102" t="e">
        <f>L50</f>
        <v>#REF!</v>
      </c>
      <c r="T52" s="101"/>
      <c r="U52" s="100"/>
    </row>
  </sheetData>
  <mergeCells count="33">
    <mergeCell ref="C11:L11"/>
    <mergeCell ref="K12:K13"/>
    <mergeCell ref="B1:U5"/>
    <mergeCell ref="V5:AA5"/>
    <mergeCell ref="D51:I52"/>
    <mergeCell ref="J51:K52"/>
    <mergeCell ref="L51:L52"/>
    <mergeCell ref="M51:Q51"/>
    <mergeCell ref="M52:Q52"/>
    <mergeCell ref="D50:I50"/>
    <mergeCell ref="J50:K50"/>
    <mergeCell ref="M50:Q50"/>
    <mergeCell ref="N12:N13"/>
    <mergeCell ref="O12:O13"/>
    <mergeCell ref="Q12:Q13"/>
    <mergeCell ref="P12:P13"/>
    <mergeCell ref="M12:M13"/>
    <mergeCell ref="U12:U13"/>
    <mergeCell ref="D13:F13"/>
    <mergeCell ref="G13:I13"/>
    <mergeCell ref="R12:R13"/>
    <mergeCell ref="S12:S13"/>
    <mergeCell ref="T12:T13"/>
    <mergeCell ref="B12:B13"/>
    <mergeCell ref="C12:C13"/>
    <mergeCell ref="D12:I12"/>
    <mergeCell ref="J12:J13"/>
    <mergeCell ref="L12:L13"/>
    <mergeCell ref="B6:J6"/>
    <mergeCell ref="K6:U6"/>
    <mergeCell ref="T8:U8"/>
    <mergeCell ref="T9:U9"/>
    <mergeCell ref="T10:U10"/>
  </mergeCells>
  <conditionalFormatting sqref="J51:K52">
    <cfRule type="cellIs" dxfId="39" priority="1" operator="greaterThanOrEqual">
      <formula>1</formula>
    </cfRule>
    <cfRule type="cellIs" dxfId="38" priority="2" operator="greaterThan">
      <formula>100%</formula>
    </cfRule>
  </conditionalFormatting>
  <printOptions horizontalCentered="1"/>
  <pageMargins left="0.39370078740157483" right="0.39370078740157483" top="0.78740157480314965" bottom="0.78740157480314965" header="0" footer="0.19685039370078741"/>
  <pageSetup paperSize="9" scale="46"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446A2C"/>
    <pageSetUpPr fitToPage="1"/>
  </sheetPr>
  <dimension ref="A1:AJ52"/>
  <sheetViews>
    <sheetView view="pageBreakPreview" topLeftCell="A7" zoomScale="60" zoomScaleNormal="100" workbookViewId="0">
      <selection activeCell="J26" sqref="J26"/>
    </sheetView>
  </sheetViews>
  <sheetFormatPr defaultRowHeight="12.75"/>
  <cols>
    <col min="1" max="1" width="9.140625" style="12"/>
    <col min="2" max="2" width="18.7109375" style="74" bestFit="1"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1" width="16.7109375" style="8" customWidth="1"/>
    <col min="12" max="15" width="15.7109375" style="8" customWidth="1"/>
    <col min="16" max="16" width="17.7109375" style="8" customWidth="1"/>
    <col min="17" max="18" width="15.7109375" style="8" customWidth="1"/>
    <col min="19" max="19" width="9" style="8" customWidth="1"/>
    <col min="20" max="20" width="13.7109375" style="8" customWidth="1"/>
    <col min="21" max="21" width="38.140625" style="8" bestFit="1" customWidth="1"/>
    <col min="22" max="27" width="9.140625" style="8"/>
    <col min="28" max="28" width="12.7109375" style="15" customWidth="1"/>
    <col min="29" max="16384" width="9.140625" style="8"/>
  </cols>
  <sheetData>
    <row r="1" spans="1:36" ht="18.75" customHeight="1">
      <c r="B1" s="2652" t="s">
        <v>115</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708" t="s">
        <v>9</v>
      </c>
      <c r="C6" s="2709"/>
      <c r="D6" s="2709"/>
      <c r="E6" s="2709"/>
      <c r="F6" s="2709"/>
      <c r="G6" s="2709"/>
      <c r="H6" s="2709"/>
      <c r="I6" s="2709"/>
      <c r="J6" s="2709"/>
      <c r="K6" s="2710" t="s">
        <v>10</v>
      </c>
      <c r="L6" s="2711"/>
      <c r="M6" s="2711"/>
      <c r="N6" s="2711"/>
      <c r="O6" s="2711"/>
      <c r="P6" s="2711"/>
      <c r="Q6" s="2711"/>
      <c r="R6" s="2711"/>
      <c r="S6" s="2711"/>
      <c r="T6" s="2711"/>
      <c r="U6" s="2712"/>
      <c r="V6" s="99"/>
      <c r="W6" s="99"/>
      <c r="X6" s="99"/>
      <c r="Y6" s="99"/>
      <c r="Z6" s="99"/>
      <c r="AA6" s="99"/>
      <c r="AB6" s="17"/>
    </row>
    <row r="7" spans="1:36" s="20" customFormat="1" ht="15.75">
      <c r="A7" s="19"/>
      <c r="B7" s="152" t="s">
        <v>96</v>
      </c>
      <c r="C7" s="149" t="e">
        <f>#REF!</f>
        <v>#REF!</v>
      </c>
      <c r="D7" s="145"/>
      <c r="E7" s="92"/>
      <c r="F7" s="92"/>
      <c r="G7" s="145"/>
      <c r="H7" s="92"/>
      <c r="I7" s="92"/>
      <c r="J7" s="200"/>
      <c r="K7" s="151" t="s">
        <v>190</v>
      </c>
      <c r="L7" s="94"/>
      <c r="M7" s="93"/>
      <c r="N7" s="93"/>
      <c r="O7" s="93"/>
      <c r="P7" s="93"/>
      <c r="Q7" s="93"/>
      <c r="R7" s="93"/>
      <c r="S7" s="94"/>
      <c r="T7" s="94"/>
      <c r="U7" s="95"/>
      <c r="AB7" s="21"/>
    </row>
    <row r="8" spans="1:36" s="20" customFormat="1" ht="15.75">
      <c r="A8" s="19"/>
      <c r="B8" s="148" t="s">
        <v>79</v>
      </c>
      <c r="C8" s="149" t="e">
        <f>#REF!</f>
        <v>#REF!</v>
      </c>
      <c r="D8" s="145"/>
      <c r="E8" s="92"/>
      <c r="F8" s="92"/>
      <c r="G8" s="145"/>
      <c r="H8" s="92"/>
      <c r="I8" s="92"/>
      <c r="J8" s="144"/>
      <c r="K8" s="146" t="s">
        <v>191</v>
      </c>
      <c r="L8" s="145"/>
      <c r="M8" s="145"/>
      <c r="N8" s="96"/>
      <c r="O8" s="96"/>
      <c r="P8" s="96"/>
      <c r="Q8" s="96"/>
      <c r="R8" s="96"/>
      <c r="S8" s="145"/>
      <c r="T8" s="2647"/>
      <c r="U8" s="2648"/>
      <c r="AB8" s="21"/>
    </row>
    <row r="9" spans="1:36" s="20" customFormat="1" ht="15.75">
      <c r="A9" s="19"/>
      <c r="B9" s="148" t="s">
        <v>11</v>
      </c>
      <c r="C9" s="147" t="e">
        <f>VLOOKUP(B9,[0]!_xlnm.Print_Area,2,FALSE)</f>
        <v>#REF!</v>
      </c>
      <c r="D9" s="145"/>
      <c r="E9" s="92"/>
      <c r="F9" s="92"/>
      <c r="G9" s="145"/>
      <c r="H9" s="92"/>
      <c r="I9" s="92"/>
      <c r="J9" s="144"/>
      <c r="K9" s="146" t="s">
        <v>192</v>
      </c>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147" t="e">
        <f>VLOOKUP(B10,[0]!_xlnm.Print_Area,2,FALSE)</f>
        <v>#REF!</v>
      </c>
      <c r="D10" s="145"/>
      <c r="E10" s="92"/>
      <c r="F10" s="92"/>
      <c r="G10" s="145"/>
      <c r="H10" s="92"/>
      <c r="I10" s="92"/>
      <c r="J10" s="201"/>
      <c r="K10" s="146" t="s">
        <v>193</v>
      </c>
      <c r="L10" s="92"/>
      <c r="M10" s="92"/>
      <c r="N10" s="92"/>
      <c r="O10" s="92"/>
      <c r="P10" s="202"/>
      <c r="Q10" s="92"/>
      <c r="R10" s="92"/>
      <c r="S10" s="92"/>
      <c r="T10" s="2660"/>
      <c r="U10" s="2661"/>
      <c r="AA10" s="22"/>
      <c r="AB10" s="22"/>
      <c r="AC10" s="22"/>
      <c r="AD10" s="22"/>
      <c r="AE10" s="22"/>
      <c r="AF10" s="22"/>
      <c r="AG10" s="22"/>
      <c r="AH10" s="22"/>
      <c r="AI10" s="22"/>
      <c r="AJ10" s="22"/>
    </row>
    <row r="11" spans="1:36" s="29" customFormat="1" ht="21" customHeight="1">
      <c r="A11" s="23"/>
      <c r="B11" s="143" t="str">
        <f>LEFT(A52,1)</f>
        <v>5</v>
      </c>
      <c r="C11" s="2713" t="e">
        <f>VLOOKUP(B11,#REF!,3,FALSE)</f>
        <v>#REF!</v>
      </c>
      <c r="D11" s="2714"/>
      <c r="E11" s="2714"/>
      <c r="F11" s="2714"/>
      <c r="G11" s="2714"/>
      <c r="H11" s="2714"/>
      <c r="I11" s="2714"/>
      <c r="J11" s="2714"/>
      <c r="K11" s="2714"/>
      <c r="L11" s="2714"/>
      <c r="M11" s="24"/>
      <c r="N11" s="24"/>
      <c r="O11" s="24"/>
      <c r="P11" s="24"/>
      <c r="Q11" s="24"/>
      <c r="R11" s="24"/>
      <c r="S11" s="24"/>
      <c r="T11" s="24"/>
      <c r="U11" s="25"/>
      <c r="V11" s="26"/>
      <c r="W11" s="26"/>
      <c r="X11" s="26"/>
      <c r="Y11" s="26"/>
      <c r="Z11" s="27"/>
      <c r="AA11" s="28"/>
      <c r="AB11" s="28"/>
      <c r="AC11" s="28"/>
      <c r="AD11" s="28"/>
      <c r="AE11" s="28"/>
      <c r="AF11" s="28"/>
      <c r="AG11" s="28"/>
      <c r="AH11" s="28"/>
      <c r="AI11" s="28"/>
      <c r="AJ11" s="28"/>
    </row>
    <row r="12" spans="1:36" s="29" customFormat="1" ht="24.95" customHeight="1">
      <c r="A12" s="23"/>
      <c r="B12" s="2664" t="e">
        <f>VLOOKUP(A52,#REF!,2,FALSE)</f>
        <v>#REF!</v>
      </c>
      <c r="C12" s="2665" t="e">
        <f>VLOOKUP(A52,#REF!,3,FALSE)</f>
        <v>#REF!</v>
      </c>
      <c r="D12" s="2666" t="s">
        <v>97</v>
      </c>
      <c r="E12" s="2666"/>
      <c r="F12" s="2666"/>
      <c r="G12" s="2666"/>
      <c r="H12" s="2666"/>
      <c r="I12" s="2666"/>
      <c r="J12" s="2668" t="s">
        <v>98</v>
      </c>
      <c r="K12" s="2668" t="s">
        <v>235</v>
      </c>
      <c r="L12" s="2668" t="s">
        <v>222</v>
      </c>
      <c r="M12" s="2668" t="s">
        <v>113</v>
      </c>
      <c r="N12" s="2668" t="s">
        <v>112</v>
      </c>
      <c r="O12" s="2668" t="s">
        <v>223</v>
      </c>
      <c r="P12" s="2668" t="s">
        <v>111</v>
      </c>
      <c r="Q12" s="2668" t="s">
        <v>16</v>
      </c>
      <c r="R12" s="2668" t="s">
        <v>2</v>
      </c>
      <c r="S12" s="2668" t="s">
        <v>99</v>
      </c>
      <c r="T12" s="2668" t="s">
        <v>17</v>
      </c>
      <c r="U12" s="2667" t="s">
        <v>110</v>
      </c>
      <c r="V12" s="26"/>
      <c r="W12" s="26"/>
      <c r="X12" s="26"/>
      <c r="Y12" s="26"/>
      <c r="Z12" s="27"/>
      <c r="AA12" s="28"/>
      <c r="AB12" s="28"/>
      <c r="AC12" s="28"/>
      <c r="AD12" s="28"/>
      <c r="AE12" s="28"/>
      <c r="AF12" s="28"/>
      <c r="AG12" s="28"/>
      <c r="AH12" s="28"/>
      <c r="AI12" s="28"/>
      <c r="AJ12" s="28"/>
    </row>
    <row r="13" spans="1:36" s="29" customFormat="1" ht="24.95" customHeight="1">
      <c r="A13" s="23"/>
      <c r="B13" s="2664"/>
      <c r="C13" s="2665"/>
      <c r="D13" s="2669" t="s">
        <v>14</v>
      </c>
      <c r="E13" s="2669"/>
      <c r="F13" s="2669"/>
      <c r="G13" s="2667" t="s">
        <v>15</v>
      </c>
      <c r="H13" s="2667"/>
      <c r="I13" s="2667"/>
      <c r="J13" s="2417"/>
      <c r="K13" s="2417"/>
      <c r="L13" s="2417"/>
      <c r="M13" s="2417"/>
      <c r="N13" s="2417"/>
      <c r="O13" s="2417"/>
      <c r="P13" s="2417"/>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39"/>
      <c r="C14" s="58"/>
      <c r="D14" s="82"/>
      <c r="E14" s="142"/>
      <c r="F14" s="83"/>
      <c r="G14" s="82"/>
      <c r="H14" s="142"/>
      <c r="I14" s="83"/>
      <c r="J14" s="46"/>
      <c r="K14" s="35"/>
      <c r="L14" s="48"/>
      <c r="M14" s="49"/>
      <c r="N14" s="50"/>
      <c r="O14" s="50"/>
      <c r="P14" s="48"/>
      <c r="Q14" s="53"/>
      <c r="R14" s="53"/>
      <c r="S14" s="54"/>
      <c r="T14" s="141"/>
      <c r="U14" s="39"/>
      <c r="V14" s="26"/>
      <c r="W14" s="26"/>
      <c r="X14" s="26"/>
      <c r="Y14" s="26"/>
      <c r="Z14" s="27"/>
    </row>
    <row r="15" spans="1:36" s="28" customFormat="1" ht="20.100000000000001" customHeight="1">
      <c r="A15" s="129"/>
      <c r="B15" s="139"/>
      <c r="C15" s="58"/>
      <c r="D15" s="82"/>
      <c r="E15" s="142"/>
      <c r="F15" s="83"/>
      <c r="G15" s="82"/>
      <c r="H15" s="142"/>
      <c r="I15" s="83"/>
      <c r="J15" s="46"/>
      <c r="K15" s="35"/>
      <c r="L15" s="48"/>
      <c r="M15" s="49"/>
      <c r="N15" s="50"/>
      <c r="O15" s="50"/>
      <c r="P15" s="48"/>
      <c r="Q15" s="53"/>
      <c r="R15" s="53"/>
      <c r="S15" s="54"/>
      <c r="T15" s="141"/>
      <c r="U15" s="39"/>
      <c r="V15" s="26"/>
      <c r="W15" s="26"/>
      <c r="X15" s="26"/>
      <c r="Y15" s="26"/>
      <c r="Z15" s="27"/>
      <c r="AA15" s="41"/>
      <c r="AB15" s="114"/>
    </row>
    <row r="16" spans="1:36" s="28" customFormat="1" ht="20.100000000000001" customHeight="1">
      <c r="A16" s="129"/>
      <c r="B16" s="139"/>
      <c r="C16" s="58"/>
      <c r="D16" s="82"/>
      <c r="E16" s="142"/>
      <c r="F16" s="83"/>
      <c r="G16" s="82"/>
      <c r="H16" s="142"/>
      <c r="I16" s="83"/>
      <c r="J16" s="46"/>
      <c r="K16" s="35"/>
      <c r="L16" s="48"/>
      <c r="M16" s="49"/>
      <c r="N16" s="50"/>
      <c r="O16" s="50"/>
      <c r="P16" s="48"/>
      <c r="Q16" s="53"/>
      <c r="R16" s="53"/>
      <c r="S16" s="54"/>
      <c r="T16" s="141"/>
      <c r="U16" s="39"/>
      <c r="V16" s="26"/>
      <c r="W16" s="26"/>
      <c r="X16" s="26"/>
      <c r="Y16" s="26"/>
      <c r="Z16" s="27"/>
      <c r="AA16" s="41"/>
      <c r="AB16" s="114"/>
    </row>
    <row r="17" spans="1:28" s="28" customFormat="1" ht="20.100000000000001" customHeight="1">
      <c r="A17" s="129"/>
      <c r="B17" s="139"/>
      <c r="C17" s="58"/>
      <c r="D17" s="82"/>
      <c r="E17" s="142"/>
      <c r="F17" s="83"/>
      <c r="G17" s="82"/>
      <c r="H17" s="142"/>
      <c r="I17" s="83"/>
      <c r="J17" s="46"/>
      <c r="K17" s="35"/>
      <c r="L17" s="48"/>
      <c r="M17" s="49"/>
      <c r="N17" s="50"/>
      <c r="O17" s="50"/>
      <c r="P17" s="48"/>
      <c r="Q17" s="53"/>
      <c r="R17" s="53"/>
      <c r="S17" s="54"/>
      <c r="T17" s="141"/>
      <c r="U17" s="39"/>
      <c r="V17" s="26"/>
      <c r="W17" s="26"/>
      <c r="X17" s="26"/>
      <c r="Y17" s="26"/>
      <c r="Z17" s="27"/>
      <c r="AA17" s="41"/>
      <c r="AB17" s="114"/>
    </row>
    <row r="18" spans="1:28" s="28" customFormat="1" ht="20.100000000000001" customHeight="1">
      <c r="A18" s="129"/>
      <c r="B18" s="139"/>
      <c r="C18" s="79"/>
      <c r="D18" s="157"/>
      <c r="E18" s="258"/>
      <c r="F18" s="259"/>
      <c r="G18" s="157"/>
      <c r="H18" s="258"/>
      <c r="I18" s="259"/>
      <c r="J18" s="260"/>
      <c r="K18" s="261"/>
      <c r="L18" s="215"/>
      <c r="M18" s="136"/>
      <c r="N18" s="224"/>
      <c r="O18" s="135"/>
      <c r="P18" s="134"/>
      <c r="Q18" s="133"/>
      <c r="R18" s="133"/>
      <c r="S18" s="132"/>
      <c r="T18" s="140"/>
      <c r="U18" s="212"/>
      <c r="V18" s="26"/>
      <c r="W18" s="26"/>
      <c r="X18" s="26"/>
      <c r="Y18" s="26"/>
      <c r="Z18" s="27"/>
      <c r="AA18" s="41"/>
      <c r="AB18" s="114"/>
    </row>
    <row r="19" spans="1:28" s="28" customFormat="1" ht="20.100000000000001" customHeight="1">
      <c r="A19" s="129"/>
      <c r="B19" s="139"/>
      <c r="C19" s="58"/>
      <c r="D19" s="82"/>
      <c r="E19" s="142"/>
      <c r="F19" s="83"/>
      <c r="G19" s="82"/>
      <c r="H19" s="142"/>
      <c r="I19" s="83"/>
      <c r="J19" s="46"/>
      <c r="K19" s="47"/>
      <c r="L19" s="48"/>
      <c r="M19" s="49"/>
      <c r="N19" s="50"/>
      <c r="O19" s="50"/>
      <c r="P19" s="48"/>
      <c r="Q19" s="53"/>
      <c r="R19" s="53"/>
      <c r="S19" s="54"/>
      <c r="T19" s="141"/>
      <c r="U19" s="39"/>
      <c r="V19" s="26"/>
      <c r="W19" s="26"/>
      <c r="X19" s="26"/>
      <c r="Y19" s="26"/>
      <c r="Z19" s="27"/>
      <c r="AA19" s="41"/>
      <c r="AB19" s="114"/>
    </row>
    <row r="20" spans="1:28" s="28" customFormat="1" ht="20.100000000000001" customHeight="1">
      <c r="A20" s="129"/>
      <c r="B20" s="139"/>
      <c r="C20" s="58"/>
      <c r="D20" s="82"/>
      <c r="E20" s="142"/>
      <c r="F20" s="83"/>
      <c r="G20" s="82"/>
      <c r="H20" s="142"/>
      <c r="I20" s="83"/>
      <c r="J20" s="46"/>
      <c r="K20" s="47"/>
      <c r="L20" s="48"/>
      <c r="M20" s="49"/>
      <c r="N20" s="50"/>
      <c r="O20" s="50"/>
      <c r="P20" s="48"/>
      <c r="Q20" s="53"/>
      <c r="R20" s="53"/>
      <c r="S20" s="54"/>
      <c r="T20" s="141"/>
      <c r="U20" s="39"/>
      <c r="V20" s="26"/>
      <c r="W20" s="26"/>
      <c r="X20" s="26"/>
      <c r="Y20" s="26"/>
      <c r="Z20" s="27"/>
      <c r="AA20" s="41"/>
      <c r="AB20" s="114"/>
    </row>
    <row r="21" spans="1:28" s="28" customFormat="1" ht="20.100000000000001" customHeight="1">
      <c r="A21" s="129"/>
      <c r="B21" s="139"/>
      <c r="C21" s="58"/>
      <c r="D21" s="82"/>
      <c r="E21" s="142"/>
      <c r="F21" s="83"/>
      <c r="G21" s="82"/>
      <c r="H21" s="142"/>
      <c r="I21" s="83"/>
      <c r="J21" s="46"/>
      <c r="K21" s="47"/>
      <c r="L21" s="48"/>
      <c r="M21" s="49"/>
      <c r="N21" s="50"/>
      <c r="O21" s="50"/>
      <c r="P21" s="48"/>
      <c r="Q21" s="53"/>
      <c r="R21" s="53"/>
      <c r="S21" s="54"/>
      <c r="T21" s="141"/>
      <c r="U21" s="39"/>
      <c r="V21" s="26"/>
      <c r="W21" s="26"/>
      <c r="X21" s="26"/>
      <c r="Y21" s="26"/>
      <c r="Z21" s="27"/>
      <c r="AA21" s="41"/>
      <c r="AB21" s="114"/>
    </row>
    <row r="22" spans="1:28" s="28" customFormat="1" ht="20.100000000000001" customHeight="1">
      <c r="A22" s="129"/>
      <c r="B22" s="139"/>
      <c r="C22" s="58"/>
      <c r="D22" s="82"/>
      <c r="E22" s="142"/>
      <c r="F22" s="83"/>
      <c r="G22" s="82"/>
      <c r="H22" s="142"/>
      <c r="I22" s="83"/>
      <c r="J22" s="46"/>
      <c r="K22" s="47"/>
      <c r="L22" s="48"/>
      <c r="M22" s="49"/>
      <c r="N22" s="50"/>
      <c r="O22" s="50"/>
      <c r="P22" s="48"/>
      <c r="Q22" s="53"/>
      <c r="R22" s="53"/>
      <c r="S22" s="54"/>
      <c r="T22" s="141"/>
      <c r="U22" s="39"/>
      <c r="V22" s="26"/>
      <c r="W22" s="26"/>
      <c r="X22" s="26"/>
      <c r="Y22" s="26"/>
      <c r="Z22" s="27"/>
      <c r="AA22" s="41"/>
      <c r="AB22" s="114"/>
    </row>
    <row r="23" spans="1:28" s="28" customFormat="1" ht="20.100000000000001" customHeight="1">
      <c r="A23" s="129"/>
      <c r="B23" s="139"/>
      <c r="C23" s="58"/>
      <c r="D23" s="82"/>
      <c r="E23" s="142"/>
      <c r="F23" s="83"/>
      <c r="G23" s="82"/>
      <c r="H23" s="142"/>
      <c r="I23" s="83"/>
      <c r="J23" s="46"/>
      <c r="K23" s="47"/>
      <c r="L23" s="48"/>
      <c r="M23" s="49"/>
      <c r="N23" s="50"/>
      <c r="O23" s="50"/>
      <c r="P23" s="48"/>
      <c r="Q23" s="53"/>
      <c r="R23" s="53"/>
      <c r="S23" s="54"/>
      <c r="T23" s="141"/>
      <c r="U23" s="39"/>
      <c r="V23" s="26"/>
      <c r="W23" s="26"/>
      <c r="X23" s="26"/>
      <c r="Y23" s="26"/>
      <c r="Z23" s="27"/>
      <c r="AA23" s="41"/>
      <c r="AB23" s="114"/>
    </row>
    <row r="24" spans="1:28" s="28" customFormat="1" ht="20.100000000000001" customHeight="1">
      <c r="A24" s="129"/>
      <c r="B24" s="139"/>
      <c r="C24" s="58"/>
      <c r="D24" s="82"/>
      <c r="E24" s="142"/>
      <c r="F24" s="83"/>
      <c r="G24" s="82"/>
      <c r="H24" s="142"/>
      <c r="I24" s="83"/>
      <c r="J24" s="46"/>
      <c r="K24" s="47"/>
      <c r="L24" s="48"/>
      <c r="M24" s="49"/>
      <c r="N24" s="50"/>
      <c r="O24" s="50"/>
      <c r="P24" s="48"/>
      <c r="Q24" s="53"/>
      <c r="R24" s="53"/>
      <c r="S24" s="54"/>
      <c r="T24" s="141"/>
      <c r="U24" s="39"/>
      <c r="V24" s="26"/>
      <c r="W24" s="26"/>
      <c r="X24" s="26"/>
      <c r="Y24" s="26"/>
      <c r="Z24" s="27"/>
      <c r="AA24" s="41"/>
      <c r="AB24" s="114"/>
    </row>
    <row r="25" spans="1:28" s="28" customFormat="1" ht="20.100000000000001" customHeight="1">
      <c r="A25" s="129"/>
      <c r="B25" s="139"/>
      <c r="C25" s="58"/>
      <c r="D25" s="82"/>
      <c r="E25" s="142"/>
      <c r="F25" s="83"/>
      <c r="G25" s="82"/>
      <c r="H25" s="142"/>
      <c r="I25" s="83"/>
      <c r="J25" s="46"/>
      <c r="K25" s="47"/>
      <c r="L25" s="48"/>
      <c r="M25" s="49"/>
      <c r="N25" s="50"/>
      <c r="O25" s="50"/>
      <c r="P25" s="48"/>
      <c r="Q25" s="53"/>
      <c r="R25" s="53"/>
      <c r="S25" s="54"/>
      <c r="T25" s="141"/>
      <c r="U25" s="39"/>
      <c r="V25" s="26"/>
      <c r="W25" s="26"/>
      <c r="X25" s="26"/>
      <c r="Y25" s="26"/>
      <c r="Z25" s="27"/>
      <c r="AA25" s="41"/>
      <c r="AB25" s="114"/>
    </row>
    <row r="26" spans="1:28" s="28" customFormat="1" ht="20.100000000000001" customHeight="1">
      <c r="A26" s="129"/>
      <c r="B26" s="139"/>
      <c r="C26" s="58"/>
      <c r="D26" s="82"/>
      <c r="E26" s="142"/>
      <c r="F26" s="83"/>
      <c r="G26" s="82"/>
      <c r="H26" s="142"/>
      <c r="I26" s="83"/>
      <c r="J26" s="46"/>
      <c r="K26" s="47"/>
      <c r="L26" s="48"/>
      <c r="M26" s="49"/>
      <c r="N26" s="50"/>
      <c r="O26" s="50"/>
      <c r="P26" s="48"/>
      <c r="Q26" s="53"/>
      <c r="R26" s="53"/>
      <c r="S26" s="54"/>
      <c r="T26" s="141"/>
      <c r="U26" s="39"/>
      <c r="V26" s="26"/>
      <c r="W26" s="26"/>
      <c r="X26" s="26"/>
      <c r="Y26" s="26"/>
      <c r="Z26" s="27"/>
      <c r="AA26" s="41"/>
      <c r="AB26" s="114"/>
    </row>
    <row r="27" spans="1:28" s="28" customFormat="1" ht="20.100000000000001" customHeight="1">
      <c r="A27" s="129"/>
      <c r="B27" s="139"/>
      <c r="C27" s="58"/>
      <c r="D27" s="82"/>
      <c r="E27" s="142"/>
      <c r="F27" s="83"/>
      <c r="G27" s="82"/>
      <c r="H27" s="142"/>
      <c r="I27" s="83"/>
      <c r="J27" s="46"/>
      <c r="K27" s="47"/>
      <c r="L27" s="48"/>
      <c r="M27" s="49"/>
      <c r="N27" s="50"/>
      <c r="O27" s="50"/>
      <c r="P27" s="48"/>
      <c r="Q27" s="53"/>
      <c r="R27" s="53"/>
      <c r="S27" s="54"/>
      <c r="T27" s="141"/>
      <c r="U27" s="39"/>
      <c r="V27" s="26"/>
      <c r="W27" s="26"/>
      <c r="X27" s="26"/>
      <c r="Y27" s="26"/>
      <c r="Z27" s="27"/>
      <c r="AA27" s="41"/>
      <c r="AB27" s="114"/>
    </row>
    <row r="28" spans="1:28" s="28" customFormat="1" ht="20.100000000000001" customHeight="1">
      <c r="A28" s="129"/>
      <c r="B28" s="139"/>
      <c r="C28" s="58"/>
      <c r="D28" s="82"/>
      <c r="E28" s="44"/>
      <c r="F28" s="83"/>
      <c r="G28" s="82"/>
      <c r="H28" s="44"/>
      <c r="I28" s="83"/>
      <c r="J28" s="46"/>
      <c r="K28" s="47"/>
      <c r="L28" s="48"/>
      <c r="M28" s="47"/>
      <c r="N28" s="50"/>
      <c r="O28" s="50"/>
      <c r="P28" s="48"/>
      <c r="Q28" s="53"/>
      <c r="R28" s="53"/>
      <c r="S28" s="54"/>
      <c r="T28" s="141"/>
      <c r="U28" s="39"/>
      <c r="V28" s="26"/>
      <c r="W28" s="26"/>
      <c r="X28" s="26"/>
      <c r="Y28" s="26"/>
      <c r="Z28" s="27"/>
      <c r="AA28" s="41"/>
      <c r="AB28" s="114"/>
    </row>
    <row r="29" spans="1:28" s="28" customFormat="1" ht="20.100000000000001" customHeight="1">
      <c r="A29" s="129"/>
      <c r="B29" s="139"/>
      <c r="C29" s="58"/>
      <c r="D29" s="82"/>
      <c r="E29" s="44"/>
      <c r="F29" s="83"/>
      <c r="G29" s="82"/>
      <c r="H29" s="44"/>
      <c r="I29" s="83"/>
      <c r="J29" s="46"/>
      <c r="K29" s="53"/>
      <c r="L29" s="48"/>
      <c r="M29" s="49"/>
      <c r="N29" s="50"/>
      <c r="O29" s="50"/>
      <c r="P29" s="48"/>
      <c r="Q29" s="53"/>
      <c r="R29" s="53"/>
      <c r="S29" s="54"/>
      <c r="T29" s="141"/>
      <c r="U29" s="39"/>
      <c r="V29" s="26"/>
      <c r="W29" s="26"/>
      <c r="X29" s="26"/>
      <c r="Y29" s="26"/>
      <c r="Z29" s="27"/>
      <c r="AA29" s="41"/>
      <c r="AB29" s="114"/>
    </row>
    <row r="30" spans="1:28" s="28" customFormat="1" ht="20.100000000000001" customHeight="1">
      <c r="A30" s="129"/>
      <c r="B30" s="139"/>
      <c r="C30" s="58"/>
      <c r="D30" s="82"/>
      <c r="E30" s="44"/>
      <c r="F30" s="83"/>
      <c r="G30" s="82"/>
      <c r="H30" s="44"/>
      <c r="I30" s="83"/>
      <c r="J30" s="46"/>
      <c r="K30" s="53"/>
      <c r="L30" s="48"/>
      <c r="M30" s="49"/>
      <c r="N30" s="50"/>
      <c r="O30" s="50"/>
      <c r="P30" s="48"/>
      <c r="Q30" s="53"/>
      <c r="R30" s="53"/>
      <c r="S30" s="54"/>
      <c r="T30" s="141"/>
      <c r="U30" s="39"/>
      <c r="V30" s="26"/>
      <c r="W30" s="26"/>
      <c r="X30" s="26"/>
      <c r="Y30" s="26"/>
      <c r="Z30" s="27"/>
      <c r="AA30" s="41"/>
      <c r="AB30" s="114"/>
    </row>
    <row r="31" spans="1:28" s="28" customFormat="1" ht="20.100000000000001" customHeight="1">
      <c r="A31" s="129"/>
      <c r="B31" s="139"/>
      <c r="C31" s="58"/>
      <c r="D31" s="82"/>
      <c r="E31" s="44"/>
      <c r="F31" s="83"/>
      <c r="G31" s="82"/>
      <c r="H31" s="44"/>
      <c r="I31" s="83"/>
      <c r="J31" s="46"/>
      <c r="K31" s="47"/>
      <c r="L31" s="48"/>
      <c r="M31" s="49"/>
      <c r="N31" s="50"/>
      <c r="O31" s="50"/>
      <c r="P31" s="48"/>
      <c r="Q31" s="53"/>
      <c r="R31" s="53"/>
      <c r="S31" s="54"/>
      <c r="T31" s="141"/>
      <c r="U31" s="39"/>
      <c r="V31" s="26"/>
      <c r="W31" s="26"/>
      <c r="X31" s="26"/>
      <c r="Y31" s="26"/>
      <c r="Z31" s="27"/>
      <c r="AA31" s="41"/>
      <c r="AB31" s="114"/>
    </row>
    <row r="32" spans="1:28" s="28" customFormat="1" ht="20.100000000000001" customHeight="1">
      <c r="A32" s="129"/>
      <c r="B32" s="57"/>
      <c r="C32" s="58"/>
      <c r="D32" s="82"/>
      <c r="E32" s="44"/>
      <c r="F32" s="83"/>
      <c r="G32" s="82"/>
      <c r="H32" s="44"/>
      <c r="I32" s="83"/>
      <c r="J32" s="46"/>
      <c r="K32" s="47"/>
      <c r="L32" s="48"/>
      <c r="M32" s="49"/>
      <c r="N32" s="50"/>
      <c r="O32" s="50"/>
      <c r="P32" s="48"/>
      <c r="Q32" s="53"/>
      <c r="R32" s="53"/>
      <c r="S32" s="54"/>
      <c r="T32" s="141"/>
      <c r="U32" s="39"/>
      <c r="V32" s="26"/>
      <c r="W32" s="26"/>
      <c r="X32" s="26"/>
      <c r="Y32" s="26"/>
      <c r="Z32" s="27"/>
      <c r="AA32" s="41"/>
      <c r="AB32" s="114"/>
    </row>
    <row r="33" spans="1:28" s="28" customFormat="1" ht="20.100000000000001" customHeight="1">
      <c r="A33" s="129"/>
      <c r="B33" s="57"/>
      <c r="C33" s="58"/>
      <c r="D33" s="82"/>
      <c r="E33" s="44"/>
      <c r="F33" s="83"/>
      <c r="G33" s="82"/>
      <c r="H33" s="44"/>
      <c r="I33" s="83"/>
      <c r="J33" s="46"/>
      <c r="K33" s="47"/>
      <c r="L33" s="48"/>
      <c r="M33" s="49"/>
      <c r="N33" s="50"/>
      <c r="O33" s="50"/>
      <c r="P33" s="48"/>
      <c r="Q33" s="53"/>
      <c r="R33" s="53"/>
      <c r="S33" s="54"/>
      <c r="T33" s="141"/>
      <c r="U33" s="39"/>
      <c r="V33" s="26"/>
      <c r="W33" s="26"/>
      <c r="X33" s="26"/>
      <c r="Y33" s="26"/>
      <c r="Z33" s="27"/>
      <c r="AA33" s="41"/>
      <c r="AB33" s="114"/>
    </row>
    <row r="34" spans="1:28" s="28" customFormat="1" ht="20.100000000000001" customHeight="1">
      <c r="A34" s="129"/>
      <c r="B34" s="139"/>
      <c r="C34" s="58"/>
      <c r="D34" s="82"/>
      <c r="E34" s="44"/>
      <c r="F34" s="83"/>
      <c r="G34" s="82"/>
      <c r="H34" s="44"/>
      <c r="I34" s="83"/>
      <c r="J34" s="46"/>
      <c r="K34" s="47"/>
      <c r="L34" s="48"/>
      <c r="M34" s="49"/>
      <c r="N34" s="50"/>
      <c r="O34" s="50"/>
      <c r="P34" s="48"/>
      <c r="Q34" s="53"/>
      <c r="R34" s="53"/>
      <c r="S34" s="54"/>
      <c r="T34" s="141"/>
      <c r="U34" s="39"/>
      <c r="V34" s="26"/>
      <c r="W34" s="26"/>
      <c r="X34" s="26"/>
      <c r="Y34" s="26"/>
      <c r="Z34" s="27"/>
      <c r="AA34" s="41"/>
      <c r="AB34" s="114"/>
    </row>
    <row r="35" spans="1:28" s="28" customFormat="1" ht="20.100000000000001" customHeight="1">
      <c r="A35" s="129"/>
      <c r="B35" s="139"/>
      <c r="C35" s="58"/>
      <c r="D35" s="82"/>
      <c r="E35" s="44"/>
      <c r="F35" s="83"/>
      <c r="G35" s="82"/>
      <c r="H35" s="44"/>
      <c r="I35" s="83"/>
      <c r="J35" s="46"/>
      <c r="K35" s="47"/>
      <c r="L35" s="48"/>
      <c r="M35" s="49"/>
      <c r="N35" s="50"/>
      <c r="O35" s="50"/>
      <c r="P35" s="48"/>
      <c r="Q35" s="53"/>
      <c r="R35" s="53"/>
      <c r="S35" s="54"/>
      <c r="T35" s="141"/>
      <c r="U35" s="39"/>
      <c r="V35" s="26"/>
      <c r="W35" s="26"/>
      <c r="X35" s="26"/>
      <c r="Y35" s="26"/>
      <c r="Z35" s="27"/>
      <c r="AA35" s="41"/>
      <c r="AB35" s="114"/>
    </row>
    <row r="36" spans="1:28" s="28" customFormat="1" ht="20.100000000000001" customHeight="1">
      <c r="A36" s="129"/>
      <c r="B36" s="139"/>
      <c r="C36" s="58"/>
      <c r="D36" s="82"/>
      <c r="E36" s="44"/>
      <c r="F36" s="83"/>
      <c r="G36" s="82"/>
      <c r="H36" s="44"/>
      <c r="I36" s="83"/>
      <c r="J36" s="46"/>
      <c r="K36" s="47"/>
      <c r="L36" s="48"/>
      <c r="M36" s="49"/>
      <c r="N36" s="50"/>
      <c r="O36" s="50"/>
      <c r="P36" s="48"/>
      <c r="Q36" s="53"/>
      <c r="R36" s="53"/>
      <c r="S36" s="54"/>
      <c r="T36" s="141"/>
      <c r="U36" s="39"/>
      <c r="V36" s="26"/>
      <c r="W36" s="26"/>
      <c r="X36" s="26"/>
      <c r="Y36" s="26"/>
      <c r="Z36" s="27"/>
      <c r="AA36" s="41"/>
      <c r="AB36" s="114"/>
    </row>
    <row r="37" spans="1:28" s="28" customFormat="1" ht="20.100000000000001" customHeight="1">
      <c r="A37" s="129"/>
      <c r="B37" s="139"/>
      <c r="C37" s="58"/>
      <c r="D37" s="82"/>
      <c r="E37" s="44"/>
      <c r="F37" s="83"/>
      <c r="G37" s="82"/>
      <c r="H37" s="44"/>
      <c r="I37" s="83"/>
      <c r="J37" s="46"/>
      <c r="K37" s="47"/>
      <c r="L37" s="48"/>
      <c r="M37" s="49"/>
      <c r="N37" s="50"/>
      <c r="O37" s="50"/>
      <c r="P37" s="48"/>
      <c r="Q37" s="53"/>
      <c r="R37" s="53"/>
      <c r="S37" s="54"/>
      <c r="T37" s="141"/>
      <c r="U37" s="39"/>
      <c r="V37" s="26"/>
      <c r="W37" s="26"/>
      <c r="X37" s="26"/>
      <c r="Y37" s="26"/>
      <c r="Z37" s="27"/>
      <c r="AA37" s="41"/>
      <c r="AB37" s="114"/>
    </row>
    <row r="38" spans="1:28" s="28" customFormat="1" ht="20.100000000000001" customHeight="1">
      <c r="A38" s="129"/>
      <c r="B38" s="139"/>
      <c r="C38" s="58"/>
      <c r="D38" s="82"/>
      <c r="E38" s="44"/>
      <c r="F38" s="83"/>
      <c r="G38" s="82"/>
      <c r="H38" s="44"/>
      <c r="I38" s="83"/>
      <c r="J38" s="46"/>
      <c r="K38" s="47"/>
      <c r="L38" s="48"/>
      <c r="M38" s="49"/>
      <c r="N38" s="50"/>
      <c r="O38" s="50"/>
      <c r="P38" s="48"/>
      <c r="Q38" s="53"/>
      <c r="R38" s="53"/>
      <c r="S38" s="54"/>
      <c r="T38" s="141"/>
      <c r="U38" s="39"/>
      <c r="V38" s="26"/>
      <c r="W38" s="26"/>
      <c r="X38" s="26"/>
      <c r="Y38" s="26"/>
      <c r="Z38" s="27"/>
      <c r="AA38" s="41"/>
      <c r="AB38" s="114"/>
    </row>
    <row r="39" spans="1:28" s="28" customFormat="1" ht="20.100000000000001" customHeight="1">
      <c r="A39" s="129"/>
      <c r="B39" s="139"/>
      <c r="C39" s="58"/>
      <c r="D39" s="82"/>
      <c r="E39" s="44"/>
      <c r="F39" s="83"/>
      <c r="G39" s="82"/>
      <c r="H39" s="44"/>
      <c r="I39" s="83"/>
      <c r="J39" s="46"/>
      <c r="K39" s="47"/>
      <c r="L39" s="48"/>
      <c r="M39" s="47"/>
      <c r="N39" s="50"/>
      <c r="O39" s="50"/>
      <c r="P39" s="48"/>
      <c r="Q39" s="53"/>
      <c r="R39" s="53"/>
      <c r="S39" s="54"/>
      <c r="T39" s="141"/>
      <c r="U39" s="39"/>
      <c r="V39" s="26"/>
      <c r="W39" s="26"/>
      <c r="X39" s="26"/>
      <c r="Y39" s="26"/>
      <c r="Z39" s="27"/>
      <c r="AA39" s="41"/>
      <c r="AB39" s="114"/>
    </row>
    <row r="40" spans="1:28" s="28" customFormat="1" ht="20.100000000000001" customHeight="1">
      <c r="A40" s="129"/>
      <c r="B40" s="139"/>
      <c r="C40" s="58"/>
      <c r="D40" s="82"/>
      <c r="E40" s="44"/>
      <c r="F40" s="83"/>
      <c r="G40" s="82"/>
      <c r="H40" s="44"/>
      <c r="I40" s="83"/>
      <c r="J40" s="46"/>
      <c r="K40" s="47"/>
      <c r="L40" s="48"/>
      <c r="M40" s="47"/>
      <c r="N40" s="50"/>
      <c r="O40" s="50"/>
      <c r="P40" s="48"/>
      <c r="Q40" s="53"/>
      <c r="R40" s="53"/>
      <c r="S40" s="54"/>
      <c r="T40" s="141"/>
      <c r="U40" s="39"/>
      <c r="V40" s="26"/>
      <c r="W40" s="26"/>
      <c r="X40" s="26"/>
      <c r="Y40" s="26"/>
      <c r="Z40" s="27"/>
      <c r="AA40" s="41"/>
      <c r="AB40" s="114"/>
    </row>
    <row r="41" spans="1:28" s="28" customFormat="1" ht="20.100000000000001" customHeight="1">
      <c r="A41" s="129"/>
      <c r="B41" s="57"/>
      <c r="C41" s="58"/>
      <c r="D41" s="82"/>
      <c r="E41" s="44"/>
      <c r="F41" s="83"/>
      <c r="G41" s="82"/>
      <c r="H41" s="44"/>
      <c r="I41" s="83"/>
      <c r="J41" s="46"/>
      <c r="K41" s="47"/>
      <c r="L41" s="48"/>
      <c r="M41" s="49"/>
      <c r="N41" s="50"/>
      <c r="O41" s="50"/>
      <c r="P41" s="48"/>
      <c r="Q41" s="53"/>
      <c r="R41" s="53"/>
      <c r="S41" s="54"/>
      <c r="T41" s="141"/>
      <c r="U41" s="39"/>
      <c r="V41" s="26"/>
      <c r="W41" s="26"/>
      <c r="X41" s="26"/>
      <c r="Y41" s="26"/>
      <c r="Z41" s="27"/>
      <c r="AA41" s="41"/>
      <c r="AB41" s="114"/>
    </row>
    <row r="42" spans="1:28" s="28" customFormat="1" ht="20.100000000000001" customHeight="1">
      <c r="A42" s="129"/>
      <c r="B42" s="57"/>
      <c r="C42" s="58"/>
      <c r="D42" s="82"/>
      <c r="E42" s="44"/>
      <c r="F42" s="83"/>
      <c r="G42" s="82"/>
      <c r="H42" s="44"/>
      <c r="I42" s="83"/>
      <c r="J42" s="46"/>
      <c r="K42" s="47"/>
      <c r="L42" s="48"/>
      <c r="M42" s="49"/>
      <c r="N42" s="50"/>
      <c r="O42" s="50"/>
      <c r="P42" s="48"/>
      <c r="Q42" s="53"/>
      <c r="R42" s="53"/>
      <c r="S42" s="54"/>
      <c r="T42" s="141"/>
      <c r="U42" s="39"/>
      <c r="V42" s="26"/>
      <c r="W42" s="26"/>
      <c r="X42" s="26"/>
      <c r="Y42" s="26"/>
      <c r="Z42" s="27"/>
      <c r="AA42" s="41"/>
      <c r="AB42" s="114"/>
    </row>
    <row r="43" spans="1:28" s="28" customFormat="1" ht="20.100000000000001" customHeight="1">
      <c r="A43" s="129"/>
      <c r="B43" s="57"/>
      <c r="C43" s="58"/>
      <c r="D43" s="82"/>
      <c r="E43" s="44"/>
      <c r="F43" s="83"/>
      <c r="G43" s="82"/>
      <c r="H43" s="44"/>
      <c r="I43" s="83"/>
      <c r="J43" s="46"/>
      <c r="K43" s="47"/>
      <c r="L43" s="48"/>
      <c r="M43" s="49"/>
      <c r="N43" s="50"/>
      <c r="O43" s="50"/>
      <c r="P43" s="48"/>
      <c r="Q43" s="53"/>
      <c r="R43" s="53"/>
      <c r="S43" s="54"/>
      <c r="T43" s="141"/>
      <c r="U43" s="39"/>
      <c r="V43" s="26"/>
      <c r="W43" s="26"/>
      <c r="X43" s="26"/>
      <c r="Y43" s="26"/>
      <c r="Z43" s="27"/>
      <c r="AA43" s="41"/>
      <c r="AB43" s="114"/>
    </row>
    <row r="44" spans="1:28" s="28" customFormat="1" ht="20.100000000000001" customHeight="1">
      <c r="A44" s="129"/>
      <c r="B44" s="57"/>
      <c r="C44" s="58"/>
      <c r="D44" s="82"/>
      <c r="E44" s="44"/>
      <c r="F44" s="83"/>
      <c r="G44" s="82"/>
      <c r="H44" s="44"/>
      <c r="I44" s="83"/>
      <c r="J44" s="46"/>
      <c r="K44" s="47"/>
      <c r="L44" s="48"/>
      <c r="M44" s="49"/>
      <c r="N44" s="50"/>
      <c r="O44" s="50"/>
      <c r="P44" s="48"/>
      <c r="Q44" s="53"/>
      <c r="R44" s="53"/>
      <c r="S44" s="54"/>
      <c r="T44" s="141"/>
      <c r="U44" s="39"/>
      <c r="V44" s="26"/>
      <c r="W44" s="26"/>
      <c r="X44" s="26"/>
      <c r="Y44" s="26"/>
      <c r="Z44" s="27"/>
      <c r="AA44" s="41"/>
      <c r="AB44" s="114"/>
    </row>
    <row r="45" spans="1:28" s="28" customFormat="1" ht="20.100000000000001" customHeight="1">
      <c r="A45" s="129"/>
      <c r="B45" s="57"/>
      <c r="C45" s="58"/>
      <c r="D45" s="82"/>
      <c r="E45" s="44"/>
      <c r="F45" s="83"/>
      <c r="G45" s="82"/>
      <c r="H45" s="44"/>
      <c r="I45" s="83"/>
      <c r="J45" s="46"/>
      <c r="K45" s="47"/>
      <c r="L45" s="48"/>
      <c r="M45" s="49"/>
      <c r="N45" s="50"/>
      <c r="O45" s="50"/>
      <c r="P45" s="48"/>
      <c r="Q45" s="53"/>
      <c r="R45" s="53"/>
      <c r="S45" s="54"/>
      <c r="T45" s="141"/>
      <c r="U45" s="39"/>
      <c r="V45" s="26"/>
      <c r="W45" s="26"/>
      <c r="X45" s="26"/>
      <c r="Y45" s="26"/>
      <c r="Z45" s="27"/>
      <c r="AA45" s="41"/>
      <c r="AB45" s="114"/>
    </row>
    <row r="46" spans="1:28" s="28" customFormat="1" ht="20.100000000000001" customHeight="1">
      <c r="A46" s="129"/>
      <c r="B46" s="57"/>
      <c r="C46" s="58"/>
      <c r="D46" s="82"/>
      <c r="E46" s="44"/>
      <c r="F46" s="83"/>
      <c r="G46" s="82"/>
      <c r="H46" s="44"/>
      <c r="I46" s="83"/>
      <c r="J46" s="46"/>
      <c r="K46" s="47"/>
      <c r="L46" s="48"/>
      <c r="M46" s="49"/>
      <c r="N46" s="50"/>
      <c r="O46" s="50"/>
      <c r="P46" s="48"/>
      <c r="Q46" s="53"/>
      <c r="R46" s="53"/>
      <c r="S46" s="54"/>
      <c r="T46" s="141"/>
      <c r="U46" s="39"/>
      <c r="V46" s="26"/>
      <c r="W46" s="26"/>
      <c r="X46" s="26"/>
      <c r="Y46" s="26"/>
      <c r="Z46" s="27"/>
      <c r="AA46" s="41"/>
      <c r="AB46" s="114"/>
    </row>
    <row r="47" spans="1:28" s="28" customFormat="1" ht="20.100000000000001" customHeight="1">
      <c r="A47" s="129"/>
      <c r="B47" s="57"/>
      <c r="C47" s="58"/>
      <c r="D47" s="82"/>
      <c r="E47" s="44"/>
      <c r="F47" s="83"/>
      <c r="G47" s="82"/>
      <c r="H47" s="44"/>
      <c r="I47" s="83"/>
      <c r="J47" s="46"/>
      <c r="K47" s="47"/>
      <c r="L47" s="48"/>
      <c r="M47" s="49"/>
      <c r="N47" s="50"/>
      <c r="O47" s="50"/>
      <c r="P47" s="48"/>
      <c r="Q47" s="53"/>
      <c r="R47" s="53"/>
      <c r="S47" s="54"/>
      <c r="T47" s="141"/>
      <c r="U47" s="39"/>
      <c r="V47" s="26"/>
      <c r="W47" s="26"/>
      <c r="X47" s="26"/>
      <c r="Y47" s="26"/>
      <c r="Z47" s="27"/>
      <c r="AA47" s="41"/>
      <c r="AB47" s="114"/>
    </row>
    <row r="48" spans="1:28" s="28" customFormat="1" ht="20.100000000000001" customHeight="1">
      <c r="A48" s="129"/>
      <c r="B48" s="57"/>
      <c r="C48" s="58"/>
      <c r="D48" s="82"/>
      <c r="E48" s="44"/>
      <c r="F48" s="83"/>
      <c r="G48" s="82"/>
      <c r="H48" s="44"/>
      <c r="I48" s="83"/>
      <c r="J48" s="46"/>
      <c r="K48" s="47"/>
      <c r="L48" s="48"/>
      <c r="M48" s="49"/>
      <c r="N48" s="50"/>
      <c r="O48" s="50"/>
      <c r="P48" s="48"/>
      <c r="Q48" s="53"/>
      <c r="R48" s="53"/>
      <c r="S48" s="54"/>
      <c r="T48" s="141"/>
      <c r="U48" s="39"/>
      <c r="V48" s="26"/>
      <c r="W48" s="26"/>
      <c r="X48" s="26"/>
      <c r="Y48" s="26"/>
      <c r="Z48" s="27"/>
      <c r="AA48" s="41"/>
      <c r="AB48" s="114"/>
    </row>
    <row r="49" spans="1:28" s="28" customFormat="1" ht="20.100000000000001" customHeight="1">
      <c r="A49" s="129"/>
      <c r="B49" s="59"/>
      <c r="C49" s="60"/>
      <c r="D49" s="161"/>
      <c r="E49" s="61"/>
      <c r="F49" s="160"/>
      <c r="G49" s="161"/>
      <c r="H49" s="61"/>
      <c r="I49" s="160"/>
      <c r="J49" s="62"/>
      <c r="K49" s="63"/>
      <c r="L49" s="64"/>
      <c r="M49" s="65"/>
      <c r="N49" s="66"/>
      <c r="O49" s="66"/>
      <c r="P49" s="64"/>
      <c r="Q49" s="69"/>
      <c r="R49" s="69"/>
      <c r="S49" s="70"/>
      <c r="T49" s="159"/>
      <c r="U49" s="158"/>
      <c r="V49" s="26"/>
      <c r="W49" s="26"/>
      <c r="X49" s="26"/>
      <c r="Y49" s="26"/>
      <c r="Z49" s="27"/>
      <c r="AA49" s="41"/>
      <c r="AB49" s="114"/>
    </row>
    <row r="50" spans="1:28" ht="20.100000000000001" customHeight="1">
      <c r="B50" s="109"/>
      <c r="C50" s="113"/>
      <c r="D50" s="2715" t="s">
        <v>18</v>
      </c>
      <c r="E50" s="2671"/>
      <c r="F50" s="2671"/>
      <c r="G50" s="2671"/>
      <c r="H50" s="2671"/>
      <c r="I50" s="2672"/>
      <c r="J50" s="2723" t="e">
        <f>VLOOKUP(A52,#REF!,6,FALSE)</f>
        <v>#REF!</v>
      </c>
      <c r="K50" s="2695"/>
      <c r="L50" s="112" t="e">
        <f>VLOOKUP(A52,#REF!,4,FALSE)</f>
        <v>#REF!</v>
      </c>
      <c r="M50" s="2724" t="s">
        <v>19</v>
      </c>
      <c r="N50" s="2697"/>
      <c r="O50" s="2697"/>
      <c r="P50" s="2697"/>
      <c r="Q50" s="2698"/>
      <c r="R50" s="111">
        <f>SUM(R14:R49)</f>
        <v>0</v>
      </c>
      <c r="S50" s="110" t="e">
        <f>L50</f>
        <v>#REF!</v>
      </c>
      <c r="T50" s="106"/>
      <c r="U50" s="105"/>
    </row>
    <row r="51" spans="1:28" ht="20.100000000000001" customHeight="1">
      <c r="B51" s="109"/>
      <c r="C51" s="72"/>
      <c r="D51" s="2678" t="s">
        <v>20</v>
      </c>
      <c r="E51" s="2679"/>
      <c r="F51" s="2679"/>
      <c r="G51" s="2679"/>
      <c r="H51" s="2679"/>
      <c r="I51" s="2680"/>
      <c r="J51" s="2699" t="e">
        <f>R50/J50</f>
        <v>#REF!</v>
      </c>
      <c r="K51" s="2700"/>
      <c r="L51" s="2703"/>
      <c r="M51" s="2720" t="s">
        <v>21</v>
      </c>
      <c r="N51" s="2721"/>
      <c r="O51" s="2721"/>
      <c r="P51" s="2721"/>
      <c r="Q51" s="2722"/>
      <c r="R51" s="108">
        <f>SUM(R14:R17)</f>
        <v>0</v>
      </c>
      <c r="S51" s="107" t="e">
        <f>L50</f>
        <v>#REF!</v>
      </c>
      <c r="T51" s="106"/>
      <c r="U51" s="105"/>
    </row>
    <row r="52" spans="1:28" ht="20.100000000000001" customHeight="1">
      <c r="A52" s="12" t="s">
        <v>189</v>
      </c>
      <c r="B52" s="104"/>
      <c r="C52" s="73"/>
      <c r="D52" s="2715"/>
      <c r="E52" s="2671"/>
      <c r="F52" s="2671"/>
      <c r="G52" s="2671"/>
      <c r="H52" s="2671"/>
      <c r="I52" s="2672"/>
      <c r="J52" s="2725"/>
      <c r="K52" s="2702"/>
      <c r="L52" s="2704"/>
      <c r="M52" s="2720" t="s">
        <v>22</v>
      </c>
      <c r="N52" s="2721"/>
      <c r="O52" s="2721"/>
      <c r="P52" s="2721"/>
      <c r="Q52" s="2722"/>
      <c r="R52" s="103">
        <f>R50-R51</f>
        <v>0</v>
      </c>
      <c r="S52" s="102" t="e">
        <f>L50</f>
        <v>#REF!</v>
      </c>
      <c r="T52" s="101"/>
      <c r="U52" s="100"/>
    </row>
  </sheetData>
  <mergeCells count="33">
    <mergeCell ref="D51:I52"/>
    <mergeCell ref="J51:K52"/>
    <mergeCell ref="L51:L52"/>
    <mergeCell ref="M51:Q51"/>
    <mergeCell ref="M52:Q52"/>
    <mergeCell ref="D50:I50"/>
    <mergeCell ref="J50:K50"/>
    <mergeCell ref="M50:Q50"/>
    <mergeCell ref="O12:O13"/>
    <mergeCell ref="P12:P13"/>
    <mergeCell ref="Q12:Q13"/>
    <mergeCell ref="T10:U10"/>
    <mergeCell ref="C11:L11"/>
    <mergeCell ref="B12:B13"/>
    <mergeCell ref="C12:C13"/>
    <mergeCell ref="D12:I12"/>
    <mergeCell ref="J12:J13"/>
    <mergeCell ref="K12:K13"/>
    <mergeCell ref="L12:L13"/>
    <mergeCell ref="M12:M13"/>
    <mergeCell ref="N12:N13"/>
    <mergeCell ref="U12:U13"/>
    <mergeCell ref="D13:F13"/>
    <mergeCell ref="G13:I13"/>
    <mergeCell ref="R12:R13"/>
    <mergeCell ref="S12:S13"/>
    <mergeCell ref="T12:T13"/>
    <mergeCell ref="T9:U9"/>
    <mergeCell ref="B1:U5"/>
    <mergeCell ref="V5:AA5"/>
    <mergeCell ref="B6:J6"/>
    <mergeCell ref="K6:U6"/>
    <mergeCell ref="T8:U8"/>
  </mergeCells>
  <conditionalFormatting sqref="J51:K52">
    <cfRule type="cellIs" dxfId="37" priority="1" operator="greaterThanOrEqual">
      <formula>1</formula>
    </cfRule>
    <cfRule type="cellIs" dxfId="36" priority="2" operator="greaterThan">
      <formula>100%</formula>
    </cfRule>
  </conditionalFormatting>
  <printOptions horizontalCentered="1"/>
  <pageMargins left="0.39370078740157483" right="0.39370078740157483" top="0.78740157480314965" bottom="0.78740157480314965" header="0" footer="0.19685039370078741"/>
  <pageSetup paperSize="9" scale="44" firstPageNumber="40"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336600"/>
    <pageSetUpPr fitToPage="1"/>
  </sheetPr>
  <dimension ref="A1:AJ52"/>
  <sheetViews>
    <sheetView showGridLines="0" view="pageBreakPreview" topLeftCell="A7" zoomScale="60" zoomScaleNormal="100" workbookViewId="0">
      <selection activeCell="AA50" sqref="AA50"/>
    </sheetView>
  </sheetViews>
  <sheetFormatPr defaultRowHeight="12.75"/>
  <cols>
    <col min="1" max="1" width="9.140625" style="12"/>
    <col min="2" max="2" width="14.2851562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7" width="13.7109375" style="8" customWidth="1"/>
    <col min="18" max="18" width="16.85546875" style="8" bestFit="1" customWidth="1"/>
    <col min="19" max="19" width="9" style="8" customWidth="1"/>
    <col min="20" max="20" width="13.7109375" style="8" customWidth="1"/>
    <col min="21" max="21" width="39.28515625" style="8" customWidth="1"/>
    <col min="22" max="27" width="9.140625" style="8"/>
    <col min="28" max="28" width="12.7109375" style="15" customWidth="1"/>
    <col min="29" max="16384" width="9.140625" style="8"/>
  </cols>
  <sheetData>
    <row r="1" spans="1:36" ht="18.75" customHeight="1">
      <c r="B1" s="2652" t="s">
        <v>115</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708" t="s">
        <v>9</v>
      </c>
      <c r="C6" s="2709"/>
      <c r="D6" s="2709"/>
      <c r="E6" s="2709"/>
      <c r="F6" s="2709"/>
      <c r="G6" s="2709"/>
      <c r="H6" s="2709"/>
      <c r="I6" s="2709"/>
      <c r="J6" s="2709"/>
      <c r="K6" s="2710" t="s">
        <v>10</v>
      </c>
      <c r="L6" s="2711"/>
      <c r="M6" s="2711"/>
      <c r="N6" s="2711"/>
      <c r="O6" s="2711"/>
      <c r="P6" s="2711"/>
      <c r="Q6" s="2711"/>
      <c r="R6" s="2711"/>
      <c r="S6" s="2711"/>
      <c r="T6" s="2711"/>
      <c r="U6" s="2712"/>
      <c r="V6" s="99"/>
      <c r="W6" s="99"/>
      <c r="X6" s="99"/>
      <c r="Y6" s="99"/>
      <c r="Z6" s="99"/>
      <c r="AA6" s="99"/>
      <c r="AB6" s="17"/>
    </row>
    <row r="7" spans="1:36" s="20" customFormat="1" ht="15.75">
      <c r="A7" s="19"/>
      <c r="B7" s="152" t="s">
        <v>96</v>
      </c>
      <c r="C7" s="149" t="e">
        <f>#REF!</f>
        <v>#REF!</v>
      </c>
      <c r="D7" s="145"/>
      <c r="E7" s="92"/>
      <c r="F7" s="92"/>
      <c r="G7" s="145"/>
      <c r="H7" s="92"/>
      <c r="I7" s="92"/>
      <c r="J7" s="200"/>
      <c r="K7" s="151" t="s">
        <v>190</v>
      </c>
      <c r="L7" s="94"/>
      <c r="M7" s="93"/>
      <c r="N7" s="93"/>
      <c r="O7" s="150"/>
      <c r="P7" s="93"/>
      <c r="Q7" s="93"/>
      <c r="R7" s="93"/>
      <c r="S7" s="94"/>
      <c r="T7" s="94"/>
      <c r="U7" s="95"/>
      <c r="AB7" s="21"/>
    </row>
    <row r="8" spans="1:36" s="20" customFormat="1" ht="15.75">
      <c r="A8" s="19"/>
      <c r="B8" s="148" t="s">
        <v>79</v>
      </c>
      <c r="C8" s="149" t="e">
        <f>#REF!</f>
        <v>#REF!</v>
      </c>
      <c r="D8" s="145"/>
      <c r="E8" s="92"/>
      <c r="F8" s="92"/>
      <c r="G8" s="145"/>
      <c r="H8" s="92"/>
      <c r="I8" s="92"/>
      <c r="J8" s="144"/>
      <c r="K8" s="146" t="s">
        <v>191</v>
      </c>
      <c r="L8" s="145"/>
      <c r="M8" s="145"/>
      <c r="N8" s="96"/>
      <c r="O8" s="96"/>
      <c r="P8" s="96"/>
      <c r="Q8" s="96"/>
      <c r="R8" s="96"/>
      <c r="S8" s="145"/>
      <c r="T8" s="2647"/>
      <c r="U8" s="2648"/>
      <c r="AB8" s="21"/>
    </row>
    <row r="9" spans="1:36" s="20" customFormat="1" ht="15.75">
      <c r="A9" s="19"/>
      <c r="B9" s="148" t="s">
        <v>11</v>
      </c>
      <c r="C9" s="147" t="e">
        <f>VLOOKUP(B9,[0]!_xlnm.Print_Area,2,FALSE)</f>
        <v>#REF!</v>
      </c>
      <c r="D9" s="145"/>
      <c r="E9" s="92"/>
      <c r="F9" s="92"/>
      <c r="G9" s="145"/>
      <c r="H9" s="92"/>
      <c r="I9" s="92"/>
      <c r="J9" s="144"/>
      <c r="K9" s="146" t="s">
        <v>192</v>
      </c>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147" t="e">
        <f>VLOOKUP(B10,[0]!_xlnm.Print_Area,2,FALSE)</f>
        <v>#REF!</v>
      </c>
      <c r="D10" s="145"/>
      <c r="E10" s="92"/>
      <c r="F10" s="92"/>
      <c r="G10" s="145"/>
      <c r="H10" s="92"/>
      <c r="I10" s="92"/>
      <c r="J10" s="201"/>
      <c r="K10" s="146" t="s">
        <v>193</v>
      </c>
      <c r="L10" s="92"/>
      <c r="M10" s="92"/>
      <c r="N10" s="92"/>
      <c r="O10" s="92"/>
      <c r="P10" s="202"/>
      <c r="Q10" s="92"/>
      <c r="R10" s="92"/>
      <c r="S10" s="92"/>
      <c r="T10" s="2660"/>
      <c r="U10" s="2661"/>
      <c r="AA10" s="22"/>
      <c r="AB10" s="22"/>
      <c r="AC10" s="22"/>
      <c r="AD10" s="22"/>
      <c r="AE10" s="22"/>
      <c r="AF10" s="22"/>
      <c r="AG10" s="22"/>
      <c r="AH10" s="22"/>
      <c r="AI10" s="22"/>
      <c r="AJ10" s="22"/>
    </row>
    <row r="11" spans="1:36" s="29" customFormat="1" ht="21" customHeight="1">
      <c r="A11" s="23"/>
      <c r="B11" s="143" t="str">
        <f>LEFT(A52,1)</f>
        <v>6</v>
      </c>
      <c r="C11" s="2713" t="e">
        <f>VLOOKUP(B11,#REF!,3,FALSE)</f>
        <v>#REF!</v>
      </c>
      <c r="D11" s="2714"/>
      <c r="E11" s="2714"/>
      <c r="F11" s="2714"/>
      <c r="G11" s="2714"/>
      <c r="H11" s="2714"/>
      <c r="I11" s="2714"/>
      <c r="J11" s="2714"/>
      <c r="K11" s="2714"/>
      <c r="L11" s="2714"/>
      <c r="M11" s="24"/>
      <c r="N11" s="24"/>
      <c r="O11" s="24"/>
      <c r="P11" s="24"/>
      <c r="Q11" s="24"/>
      <c r="R11" s="24"/>
      <c r="S11" s="24"/>
      <c r="T11" s="24"/>
      <c r="U11" s="25"/>
      <c r="V11" s="26"/>
      <c r="W11" s="26"/>
      <c r="X11" s="26"/>
      <c r="Y11" s="26"/>
      <c r="Z11" s="27"/>
      <c r="AA11" s="28"/>
      <c r="AB11" s="28"/>
      <c r="AC11" s="28"/>
      <c r="AD11" s="28"/>
      <c r="AE11" s="28"/>
      <c r="AF11" s="28"/>
      <c r="AG11" s="28"/>
      <c r="AH11" s="28"/>
      <c r="AI11" s="28"/>
      <c r="AJ11" s="28"/>
    </row>
    <row r="12" spans="1:36" s="29" customFormat="1" ht="20.100000000000001" customHeight="1">
      <c r="A12" s="23"/>
      <c r="B12" s="197" t="str">
        <f>LEFT(A52,3)</f>
        <v>6.4</v>
      </c>
      <c r="C12" s="2726" t="e">
        <f>VLOOKUP(B12,#REF!,3,FALSE)</f>
        <v>#REF!</v>
      </c>
      <c r="D12" s="2727"/>
      <c r="E12" s="2727"/>
      <c r="F12" s="2727"/>
      <c r="G12" s="2727"/>
      <c r="H12" s="2727"/>
      <c r="I12" s="2727"/>
      <c r="J12" s="2727"/>
      <c r="K12" s="2727"/>
      <c r="L12" s="2727"/>
      <c r="M12" s="196"/>
      <c r="N12" s="196"/>
      <c r="O12" s="196"/>
      <c r="P12" s="196"/>
      <c r="Q12" s="196"/>
      <c r="R12" s="196"/>
      <c r="S12" s="196"/>
      <c r="T12" s="196"/>
      <c r="U12" s="195"/>
      <c r="V12" s="26"/>
      <c r="W12" s="26"/>
      <c r="X12" s="26"/>
      <c r="Y12" s="26"/>
      <c r="Z12" s="27"/>
      <c r="AA12" s="28"/>
      <c r="AB12" s="28"/>
      <c r="AC12" s="28"/>
      <c r="AD12" s="28"/>
      <c r="AE12" s="28"/>
      <c r="AF12" s="28"/>
      <c r="AG12" s="28"/>
      <c r="AH12" s="28"/>
      <c r="AI12" s="28"/>
      <c r="AJ12" s="28"/>
    </row>
    <row r="13" spans="1:36" s="29" customFormat="1" ht="20.100000000000001" customHeight="1">
      <c r="A13" s="23"/>
      <c r="B13" s="2664" t="e">
        <f>VLOOKUP(A52,#REF!,2,FALSE)</f>
        <v>#REF!</v>
      </c>
      <c r="C13" s="2665" t="e">
        <f>VLOOKUP(A52,#REF!,3,FALSE)</f>
        <v>#REF!</v>
      </c>
      <c r="D13" s="2666" t="s">
        <v>97</v>
      </c>
      <c r="E13" s="2666"/>
      <c r="F13" s="2666"/>
      <c r="G13" s="2666"/>
      <c r="H13" s="2666"/>
      <c r="I13" s="2666"/>
      <c r="J13" s="2668" t="s">
        <v>98</v>
      </c>
      <c r="K13" s="2668" t="s">
        <v>102</v>
      </c>
      <c r="L13" s="2668" t="s">
        <v>103</v>
      </c>
      <c r="M13" s="2668" t="s">
        <v>113</v>
      </c>
      <c r="N13" s="2668" t="s">
        <v>112</v>
      </c>
      <c r="O13" s="2668" t="s">
        <v>107</v>
      </c>
      <c r="P13" s="2668" t="s">
        <v>111</v>
      </c>
      <c r="Q13" s="2668" t="s">
        <v>16</v>
      </c>
      <c r="R13" s="2668" t="s">
        <v>2</v>
      </c>
      <c r="S13" s="2668" t="s">
        <v>99</v>
      </c>
      <c r="T13" s="2668" t="s">
        <v>17</v>
      </c>
      <c r="U13" s="2667" t="s">
        <v>110</v>
      </c>
      <c r="V13" s="26"/>
      <c r="W13" s="26"/>
      <c r="X13" s="26"/>
      <c r="Y13" s="26"/>
      <c r="Z13" s="27"/>
      <c r="AA13" s="28"/>
      <c r="AB13" s="28"/>
      <c r="AC13" s="28"/>
      <c r="AD13" s="28"/>
      <c r="AE13" s="28"/>
      <c r="AF13" s="28"/>
      <c r="AG13" s="28"/>
      <c r="AH13" s="28"/>
      <c r="AI13" s="28"/>
      <c r="AJ13" s="28"/>
    </row>
    <row r="14" spans="1:36" s="29" customFormat="1" ht="20.100000000000001" customHeight="1">
      <c r="A14" s="23"/>
      <c r="B14" s="2664"/>
      <c r="C14" s="2665"/>
      <c r="D14" s="2669" t="s">
        <v>14</v>
      </c>
      <c r="E14" s="2669"/>
      <c r="F14" s="2669"/>
      <c r="G14" s="2667" t="s">
        <v>15</v>
      </c>
      <c r="H14" s="2667"/>
      <c r="I14" s="2667"/>
      <c r="J14" s="2417"/>
      <c r="K14" s="2417"/>
      <c r="L14" s="2417"/>
      <c r="M14" s="2417"/>
      <c r="N14" s="2417"/>
      <c r="O14" s="2417"/>
      <c r="P14" s="2417"/>
      <c r="Q14" s="2417"/>
      <c r="R14" s="2417"/>
      <c r="S14" s="2417"/>
      <c r="T14" s="2417"/>
      <c r="U14" s="2667"/>
      <c r="V14" s="26"/>
      <c r="W14" s="26"/>
      <c r="X14" s="26"/>
      <c r="Y14" s="26"/>
      <c r="Z14" s="27"/>
      <c r="AA14" s="28"/>
      <c r="AB14" s="28"/>
      <c r="AC14" s="28"/>
      <c r="AD14" s="28"/>
      <c r="AE14" s="28"/>
      <c r="AF14" s="28"/>
      <c r="AG14" s="28"/>
      <c r="AH14" s="28"/>
      <c r="AI14" s="28"/>
      <c r="AJ14" s="28"/>
    </row>
    <row r="15" spans="1:36" s="9" customFormat="1" ht="20.100000000000001" customHeight="1">
      <c r="A15" s="14"/>
      <c r="B15" s="57"/>
      <c r="C15" s="58" t="s">
        <v>164</v>
      </c>
      <c r="D15" s="82">
        <v>220</v>
      </c>
      <c r="E15" s="44" t="s">
        <v>68</v>
      </c>
      <c r="F15" s="83">
        <v>0</v>
      </c>
      <c r="G15" s="82">
        <v>222</v>
      </c>
      <c r="H15" s="44" t="s">
        <v>68</v>
      </c>
      <c r="I15" s="83">
        <v>15</v>
      </c>
      <c r="J15" s="46" t="s">
        <v>70</v>
      </c>
      <c r="K15" s="48">
        <v>53.19</v>
      </c>
      <c r="L15" s="48"/>
      <c r="M15" s="48"/>
      <c r="N15" s="50"/>
      <c r="O15" s="50"/>
      <c r="P15" s="48"/>
      <c r="Q15" s="53"/>
      <c r="R15" s="53">
        <f t="shared" ref="R15:R40" si="0">K15</f>
        <v>53.19</v>
      </c>
      <c r="S15" s="54" t="s">
        <v>8</v>
      </c>
      <c r="T15" s="141" t="s">
        <v>80</v>
      </c>
      <c r="U15" s="39" t="s">
        <v>109</v>
      </c>
      <c r="V15" s="26"/>
      <c r="W15" s="26"/>
      <c r="X15" s="26"/>
      <c r="Y15" s="26"/>
      <c r="Z15" s="27"/>
    </row>
    <row r="16" spans="1:36" s="9" customFormat="1" ht="20.100000000000001" customHeight="1">
      <c r="A16" s="14"/>
      <c r="B16" s="57"/>
      <c r="C16" s="58" t="s">
        <v>164</v>
      </c>
      <c r="D16" s="82">
        <v>550</v>
      </c>
      <c r="E16" s="44" t="s">
        <v>68</v>
      </c>
      <c r="F16" s="83">
        <v>0</v>
      </c>
      <c r="G16" s="82">
        <v>551</v>
      </c>
      <c r="H16" s="44" t="s">
        <v>68</v>
      </c>
      <c r="I16" s="83">
        <v>10</v>
      </c>
      <c r="J16" s="46" t="s">
        <v>69</v>
      </c>
      <c r="K16" s="48">
        <v>40.68</v>
      </c>
      <c r="L16" s="48"/>
      <c r="M16" s="48"/>
      <c r="N16" s="50"/>
      <c r="O16" s="50"/>
      <c r="P16" s="48"/>
      <c r="Q16" s="53"/>
      <c r="R16" s="53">
        <f t="shared" si="0"/>
        <v>40.68</v>
      </c>
      <c r="S16" s="54" t="s">
        <v>8</v>
      </c>
      <c r="T16" s="141" t="s">
        <v>80</v>
      </c>
      <c r="U16" s="39" t="s">
        <v>109</v>
      </c>
      <c r="V16" s="26"/>
      <c r="W16" s="26"/>
      <c r="X16" s="26"/>
      <c r="Y16" s="26"/>
      <c r="Z16" s="27"/>
      <c r="AA16" s="41"/>
      <c r="AB16" s="42"/>
    </row>
    <row r="17" spans="1:28" s="9" customFormat="1" ht="20.100000000000001" customHeight="1">
      <c r="A17" s="14"/>
      <c r="B17" s="57"/>
      <c r="C17" s="58" t="s">
        <v>164</v>
      </c>
      <c r="D17" s="82">
        <v>104</v>
      </c>
      <c r="E17" s="44" t="s">
        <v>68</v>
      </c>
      <c r="F17" s="83">
        <v>10</v>
      </c>
      <c r="G17" s="82">
        <v>111</v>
      </c>
      <c r="H17" s="44" t="s">
        <v>68</v>
      </c>
      <c r="I17" s="83">
        <v>7</v>
      </c>
      <c r="J17" s="46" t="s">
        <v>69</v>
      </c>
      <c r="K17" s="48">
        <v>198.82</v>
      </c>
      <c r="L17" s="48"/>
      <c r="M17" s="48"/>
      <c r="N17" s="50"/>
      <c r="O17" s="50"/>
      <c r="P17" s="48"/>
      <c r="Q17" s="53"/>
      <c r="R17" s="53">
        <f t="shared" si="0"/>
        <v>198.82</v>
      </c>
      <c r="S17" s="54" t="s">
        <v>8</v>
      </c>
      <c r="T17" s="141" t="s">
        <v>80</v>
      </c>
      <c r="U17" s="39" t="s">
        <v>109</v>
      </c>
      <c r="V17" s="26"/>
      <c r="W17" s="26"/>
      <c r="X17" s="26"/>
      <c r="Y17" s="26"/>
      <c r="Z17" s="27"/>
      <c r="AA17" s="41"/>
      <c r="AB17" s="42"/>
    </row>
    <row r="18" spans="1:28" s="9" customFormat="1" ht="20.100000000000001" customHeight="1">
      <c r="A18" s="14"/>
      <c r="B18" s="57"/>
      <c r="C18" s="58" t="s">
        <v>164</v>
      </c>
      <c r="D18" s="82">
        <v>104</v>
      </c>
      <c r="E18" s="44" t="s">
        <v>68</v>
      </c>
      <c r="F18" s="83">
        <v>9</v>
      </c>
      <c r="G18" s="82">
        <v>107</v>
      </c>
      <c r="H18" s="44" t="s">
        <v>68</v>
      </c>
      <c r="I18" s="83">
        <v>0</v>
      </c>
      <c r="J18" s="46" t="s">
        <v>70</v>
      </c>
      <c r="K18" s="48">
        <v>48.73</v>
      </c>
      <c r="L18" s="48"/>
      <c r="M18" s="48"/>
      <c r="N18" s="50"/>
      <c r="O18" s="50"/>
      <c r="P18" s="48"/>
      <c r="Q18" s="53"/>
      <c r="R18" s="53">
        <f t="shared" si="0"/>
        <v>48.73</v>
      </c>
      <c r="S18" s="54" t="s">
        <v>8</v>
      </c>
      <c r="T18" s="141" t="s">
        <v>80</v>
      </c>
      <c r="U18" s="39" t="s">
        <v>109</v>
      </c>
      <c r="V18" s="26"/>
      <c r="W18" s="26"/>
      <c r="X18" s="26"/>
      <c r="Y18" s="26"/>
      <c r="Z18" s="27"/>
      <c r="AA18" s="41"/>
      <c r="AB18" s="42"/>
    </row>
    <row r="19" spans="1:28" s="28" customFormat="1" ht="20.100000000000001" customHeight="1">
      <c r="A19" s="129"/>
      <c r="B19" s="40"/>
      <c r="C19" s="30" t="s">
        <v>164</v>
      </c>
      <c r="D19" s="82">
        <v>104</v>
      </c>
      <c r="E19" s="44" t="s">
        <v>68</v>
      </c>
      <c r="F19" s="83">
        <v>10</v>
      </c>
      <c r="G19" s="82">
        <v>117</v>
      </c>
      <c r="H19" s="44" t="s">
        <v>68</v>
      </c>
      <c r="I19" s="83">
        <v>18.100000000000001</v>
      </c>
      <c r="J19" s="34" t="s">
        <v>70</v>
      </c>
      <c r="K19" s="36">
        <v>268.10000000000002</v>
      </c>
      <c r="L19" s="35"/>
      <c r="M19" s="36"/>
      <c r="N19" s="81"/>
      <c r="O19" s="81"/>
      <c r="P19" s="35"/>
      <c r="Q19" s="37"/>
      <c r="R19" s="37">
        <f t="shared" si="0"/>
        <v>268.10000000000002</v>
      </c>
      <c r="S19" s="38" t="s">
        <v>8</v>
      </c>
      <c r="T19" s="194" t="s">
        <v>83</v>
      </c>
      <c r="U19" s="39" t="s">
        <v>109</v>
      </c>
      <c r="V19" s="26"/>
      <c r="W19" s="26"/>
      <c r="X19" s="26"/>
      <c r="Y19" s="26"/>
      <c r="Z19" s="27"/>
      <c r="AA19" s="41"/>
      <c r="AB19" s="114"/>
    </row>
    <row r="20" spans="1:28" s="28" customFormat="1" ht="20.100000000000001" customHeight="1">
      <c r="A20" s="129"/>
      <c r="B20" s="40"/>
      <c r="C20" s="30" t="s">
        <v>164</v>
      </c>
      <c r="D20" s="82">
        <v>111</v>
      </c>
      <c r="E20" s="44" t="s">
        <v>68</v>
      </c>
      <c r="F20" s="83">
        <v>7</v>
      </c>
      <c r="G20" s="82">
        <v>121</v>
      </c>
      <c r="H20" s="44" t="s">
        <v>68</v>
      </c>
      <c r="I20" s="83">
        <v>11.15</v>
      </c>
      <c r="J20" s="34" t="s">
        <v>69</v>
      </c>
      <c r="K20" s="36">
        <v>204.15</v>
      </c>
      <c r="L20" s="35"/>
      <c r="M20" s="36"/>
      <c r="N20" s="81"/>
      <c r="O20" s="81"/>
      <c r="P20" s="35"/>
      <c r="Q20" s="37"/>
      <c r="R20" s="37">
        <f t="shared" si="0"/>
        <v>204.15</v>
      </c>
      <c r="S20" s="38" t="s">
        <v>8</v>
      </c>
      <c r="T20" s="194" t="s">
        <v>83</v>
      </c>
      <c r="U20" s="39" t="s">
        <v>109</v>
      </c>
      <c r="V20" s="26"/>
      <c r="W20" s="26"/>
      <c r="X20" s="26"/>
      <c r="Y20" s="26"/>
      <c r="Z20" s="27"/>
      <c r="AA20" s="41"/>
      <c r="AB20" s="114"/>
    </row>
    <row r="21" spans="1:28" s="28" customFormat="1" ht="20.100000000000001" customHeight="1">
      <c r="A21" s="129"/>
      <c r="B21" s="40"/>
      <c r="C21" s="30" t="s">
        <v>164</v>
      </c>
      <c r="D21" s="82">
        <v>224</v>
      </c>
      <c r="E21" s="44" t="s">
        <v>68</v>
      </c>
      <c r="F21" s="83">
        <v>6</v>
      </c>
      <c r="G21" s="82">
        <v>225</v>
      </c>
      <c r="H21" s="44" t="s">
        <v>68</v>
      </c>
      <c r="I21" s="83">
        <v>12</v>
      </c>
      <c r="J21" s="34" t="s">
        <v>70</v>
      </c>
      <c r="K21" s="37">
        <v>26</v>
      </c>
      <c r="L21" s="35"/>
      <c r="M21" s="37"/>
      <c r="N21" s="81"/>
      <c r="O21" s="81"/>
      <c r="P21" s="35"/>
      <c r="Q21" s="37"/>
      <c r="R21" s="37">
        <f t="shared" si="0"/>
        <v>26</v>
      </c>
      <c r="S21" s="38" t="s">
        <v>8</v>
      </c>
      <c r="T21" s="194" t="s">
        <v>83</v>
      </c>
      <c r="U21" s="39" t="s">
        <v>109</v>
      </c>
      <c r="V21" s="26"/>
      <c r="W21" s="26"/>
      <c r="X21" s="26"/>
      <c r="Y21" s="26"/>
      <c r="Z21" s="27"/>
      <c r="AA21" s="41"/>
      <c r="AB21" s="114"/>
    </row>
    <row r="22" spans="1:28" s="28" customFormat="1" ht="20.100000000000001" customHeight="1">
      <c r="A22" s="129"/>
      <c r="B22" s="40"/>
      <c r="C22" s="30" t="s">
        <v>164</v>
      </c>
      <c r="D22" s="82">
        <v>225</v>
      </c>
      <c r="E22" s="44"/>
      <c r="F22" s="83">
        <v>15</v>
      </c>
      <c r="G22" s="82">
        <v>228</v>
      </c>
      <c r="H22" s="44"/>
      <c r="I22" s="83">
        <v>13</v>
      </c>
      <c r="J22" s="34" t="s">
        <v>70</v>
      </c>
      <c r="K22" s="37">
        <v>67.25</v>
      </c>
      <c r="L22" s="35"/>
      <c r="M22" s="37"/>
      <c r="N22" s="81"/>
      <c r="O22" s="81"/>
      <c r="P22" s="35"/>
      <c r="Q22" s="37"/>
      <c r="R22" s="37">
        <f t="shared" si="0"/>
        <v>67.25</v>
      </c>
      <c r="S22" s="38" t="s">
        <v>8</v>
      </c>
      <c r="T22" s="194" t="s">
        <v>83</v>
      </c>
      <c r="U22" s="39" t="s">
        <v>109</v>
      </c>
      <c r="V22" s="26"/>
      <c r="W22" s="26"/>
      <c r="X22" s="26"/>
      <c r="Y22" s="26"/>
      <c r="Z22" s="27"/>
      <c r="AA22" s="41"/>
      <c r="AB22" s="114"/>
    </row>
    <row r="23" spans="1:28" s="28" customFormat="1" ht="20.100000000000001" customHeight="1">
      <c r="A23" s="129"/>
      <c r="B23" s="139"/>
      <c r="C23" s="30" t="s">
        <v>164</v>
      </c>
      <c r="D23" s="82">
        <v>302</v>
      </c>
      <c r="E23" s="44" t="s">
        <v>68</v>
      </c>
      <c r="F23" s="83">
        <v>10</v>
      </c>
      <c r="G23" s="82">
        <v>302</v>
      </c>
      <c r="H23" s="44" t="s">
        <v>68</v>
      </c>
      <c r="I23" s="83">
        <v>10</v>
      </c>
      <c r="J23" s="34" t="s">
        <v>105</v>
      </c>
      <c r="K23" s="36">
        <v>14.5</v>
      </c>
      <c r="L23" s="35"/>
      <c r="M23" s="36"/>
      <c r="N23" s="81"/>
      <c r="O23" s="81"/>
      <c r="P23" s="35"/>
      <c r="Q23" s="37"/>
      <c r="R23" s="37">
        <f t="shared" si="0"/>
        <v>14.5</v>
      </c>
      <c r="S23" s="38" t="s">
        <v>8</v>
      </c>
      <c r="T23" s="194" t="s">
        <v>83</v>
      </c>
      <c r="U23" s="39" t="s">
        <v>109</v>
      </c>
      <c r="V23" s="26"/>
      <c r="W23" s="26"/>
      <c r="X23" s="26"/>
      <c r="Y23" s="26"/>
      <c r="Z23" s="27"/>
      <c r="AA23" s="41"/>
      <c r="AB23" s="114"/>
    </row>
    <row r="24" spans="1:28" s="28" customFormat="1" ht="20.100000000000001" customHeight="1">
      <c r="A24" s="129"/>
      <c r="B24" s="139"/>
      <c r="C24" s="30" t="s">
        <v>164</v>
      </c>
      <c r="D24" s="82">
        <v>208</v>
      </c>
      <c r="E24" s="44" t="s">
        <v>68</v>
      </c>
      <c r="F24" s="83">
        <v>0</v>
      </c>
      <c r="G24" s="82">
        <v>302</v>
      </c>
      <c r="H24" s="44" t="s">
        <v>68</v>
      </c>
      <c r="I24" s="83">
        <v>0</v>
      </c>
      <c r="J24" s="34" t="s">
        <v>69</v>
      </c>
      <c r="K24" s="36">
        <v>75.3</v>
      </c>
      <c r="L24" s="35"/>
      <c r="M24" s="36"/>
      <c r="N24" s="81"/>
      <c r="O24" s="81"/>
      <c r="P24" s="35"/>
      <c r="Q24" s="37"/>
      <c r="R24" s="37">
        <f t="shared" si="0"/>
        <v>75.3</v>
      </c>
      <c r="S24" s="38" t="s">
        <v>8</v>
      </c>
      <c r="T24" s="194" t="s">
        <v>83</v>
      </c>
      <c r="U24" s="39" t="s">
        <v>109</v>
      </c>
      <c r="V24" s="26"/>
      <c r="W24" s="26"/>
      <c r="X24" s="26"/>
      <c r="Y24" s="26"/>
      <c r="Z24" s="27"/>
      <c r="AA24" s="41"/>
      <c r="AB24" s="114"/>
    </row>
    <row r="25" spans="1:28" s="28" customFormat="1" ht="20.100000000000001" customHeight="1">
      <c r="A25" s="129"/>
      <c r="B25" s="139"/>
      <c r="C25" s="58" t="s">
        <v>164</v>
      </c>
      <c r="D25" s="82">
        <v>221</v>
      </c>
      <c r="E25" s="44" t="s">
        <v>68</v>
      </c>
      <c r="F25" s="83">
        <v>13</v>
      </c>
      <c r="G25" s="82">
        <v>225</v>
      </c>
      <c r="H25" s="44" t="s">
        <v>68</v>
      </c>
      <c r="I25" s="83">
        <v>0</v>
      </c>
      <c r="J25" s="46" t="s">
        <v>69</v>
      </c>
      <c r="K25" s="47">
        <v>146.19999999999999</v>
      </c>
      <c r="L25" s="48"/>
      <c r="M25" s="49"/>
      <c r="N25" s="50"/>
      <c r="O25" s="50"/>
      <c r="P25" s="48"/>
      <c r="Q25" s="53"/>
      <c r="R25" s="37">
        <f t="shared" si="0"/>
        <v>146.19999999999999</v>
      </c>
      <c r="S25" s="38" t="s">
        <v>8</v>
      </c>
      <c r="T25" s="194" t="s">
        <v>86</v>
      </c>
      <c r="U25" s="39" t="s">
        <v>109</v>
      </c>
      <c r="V25" s="26"/>
      <c r="W25" s="26"/>
      <c r="X25" s="26"/>
      <c r="Y25" s="26"/>
      <c r="Z25" s="27"/>
      <c r="AA25" s="41"/>
      <c r="AB25" s="114"/>
    </row>
    <row r="26" spans="1:28" s="28" customFormat="1" ht="20.100000000000001" customHeight="1">
      <c r="A26" s="129"/>
      <c r="B26" s="139"/>
      <c r="C26" s="58" t="s">
        <v>164</v>
      </c>
      <c r="D26" s="82">
        <v>302</v>
      </c>
      <c r="E26" s="44" t="s">
        <v>68</v>
      </c>
      <c r="F26" s="83">
        <v>6</v>
      </c>
      <c r="G26" s="82">
        <v>302</v>
      </c>
      <c r="H26" s="44" t="s">
        <v>68</v>
      </c>
      <c r="I26" s="83">
        <v>15</v>
      </c>
      <c r="J26" s="46" t="s">
        <v>105</v>
      </c>
      <c r="K26" s="47">
        <v>24.99</v>
      </c>
      <c r="L26" s="48"/>
      <c r="M26" s="49"/>
      <c r="N26" s="50"/>
      <c r="O26" s="50"/>
      <c r="P26" s="48"/>
      <c r="Q26" s="53"/>
      <c r="R26" s="37">
        <f t="shared" si="0"/>
        <v>24.99</v>
      </c>
      <c r="S26" s="38" t="s">
        <v>8</v>
      </c>
      <c r="T26" s="194" t="s">
        <v>86</v>
      </c>
      <c r="U26" s="39" t="s">
        <v>109</v>
      </c>
      <c r="V26" s="26"/>
      <c r="W26" s="26"/>
      <c r="X26" s="26"/>
      <c r="Y26" s="26"/>
      <c r="Z26" s="27"/>
      <c r="AA26" s="41"/>
      <c r="AB26" s="114"/>
    </row>
    <row r="27" spans="1:28" s="28" customFormat="1" ht="20.100000000000001" customHeight="1">
      <c r="A27" s="129"/>
      <c r="B27" s="139"/>
      <c r="C27" s="58" t="s">
        <v>164</v>
      </c>
      <c r="D27" s="82">
        <v>225</v>
      </c>
      <c r="E27" s="44" t="s">
        <v>68</v>
      </c>
      <c r="F27" s="83">
        <v>15</v>
      </c>
      <c r="G27" s="82">
        <v>227</v>
      </c>
      <c r="H27" s="44" t="s">
        <v>68</v>
      </c>
      <c r="I27" s="83">
        <v>0</v>
      </c>
      <c r="J27" s="46" t="s">
        <v>69</v>
      </c>
      <c r="K27" s="47">
        <v>52.16</v>
      </c>
      <c r="L27" s="48"/>
      <c r="M27" s="49"/>
      <c r="N27" s="50"/>
      <c r="O27" s="50"/>
      <c r="P27" s="48"/>
      <c r="Q27" s="53"/>
      <c r="R27" s="37">
        <f t="shared" si="0"/>
        <v>52.16</v>
      </c>
      <c r="S27" s="38" t="s">
        <v>8</v>
      </c>
      <c r="T27" s="194" t="s">
        <v>86</v>
      </c>
      <c r="U27" s="39" t="s">
        <v>109</v>
      </c>
      <c r="V27" s="26"/>
      <c r="W27" s="26"/>
      <c r="X27" s="26"/>
      <c r="Y27" s="26"/>
      <c r="Z27" s="27"/>
      <c r="AA27" s="41"/>
      <c r="AB27" s="114"/>
    </row>
    <row r="28" spans="1:28" s="28" customFormat="1" ht="20.100000000000001" customHeight="1">
      <c r="A28" s="129"/>
      <c r="B28" s="139"/>
      <c r="C28" s="58" t="s">
        <v>161</v>
      </c>
      <c r="D28" s="82">
        <v>112</v>
      </c>
      <c r="E28" s="44" t="s">
        <v>68</v>
      </c>
      <c r="F28" s="83">
        <v>13</v>
      </c>
      <c r="G28" s="82">
        <v>113</v>
      </c>
      <c r="H28" s="44" t="s">
        <v>68</v>
      </c>
      <c r="I28" s="83">
        <v>18</v>
      </c>
      <c r="J28" s="46" t="s">
        <v>69</v>
      </c>
      <c r="K28" s="47">
        <v>25</v>
      </c>
      <c r="L28" s="48"/>
      <c r="M28" s="49"/>
      <c r="N28" s="50"/>
      <c r="O28" s="50"/>
      <c r="P28" s="48"/>
      <c r="Q28" s="53"/>
      <c r="R28" s="53">
        <f t="shared" si="0"/>
        <v>25</v>
      </c>
      <c r="S28" s="54" t="s">
        <v>8</v>
      </c>
      <c r="T28" s="194" t="s">
        <v>88</v>
      </c>
      <c r="U28" s="39" t="s">
        <v>109</v>
      </c>
      <c r="V28" s="26"/>
      <c r="W28" s="26"/>
      <c r="X28" s="26"/>
      <c r="Y28" s="26"/>
      <c r="Z28" s="27"/>
      <c r="AA28" s="41"/>
      <c r="AB28" s="114"/>
    </row>
    <row r="29" spans="1:28" s="28" customFormat="1" ht="20.100000000000001" customHeight="1">
      <c r="A29" s="129"/>
      <c r="B29" s="139"/>
      <c r="C29" s="58" t="s">
        <v>161</v>
      </c>
      <c r="D29" s="82">
        <v>115</v>
      </c>
      <c r="E29" s="44" t="s">
        <v>68</v>
      </c>
      <c r="F29" s="83">
        <v>17</v>
      </c>
      <c r="G29" s="82"/>
      <c r="H29" s="44"/>
      <c r="I29" s="83"/>
      <c r="J29" s="46" t="s">
        <v>106</v>
      </c>
      <c r="K29" s="47">
        <v>10</v>
      </c>
      <c r="L29" s="48"/>
      <c r="M29" s="49"/>
      <c r="N29" s="50"/>
      <c r="O29" s="50"/>
      <c r="P29" s="48"/>
      <c r="Q29" s="53"/>
      <c r="R29" s="53">
        <f t="shared" si="0"/>
        <v>10</v>
      </c>
      <c r="S29" s="54" t="s">
        <v>8</v>
      </c>
      <c r="T29" s="194" t="s">
        <v>88</v>
      </c>
      <c r="U29" s="39" t="s">
        <v>109</v>
      </c>
      <c r="V29" s="26"/>
      <c r="W29" s="26"/>
      <c r="X29" s="26"/>
      <c r="Y29" s="26"/>
      <c r="Z29" s="27"/>
      <c r="AA29" s="41"/>
      <c r="AB29" s="114"/>
    </row>
    <row r="30" spans="1:28" s="28" customFormat="1" ht="20.100000000000001" customHeight="1">
      <c r="A30" s="129"/>
      <c r="B30" s="139"/>
      <c r="C30" s="58" t="s">
        <v>161</v>
      </c>
      <c r="D30" s="82">
        <v>115</v>
      </c>
      <c r="E30" s="44" t="s">
        <v>68</v>
      </c>
      <c r="F30" s="83">
        <v>17</v>
      </c>
      <c r="G30" s="82">
        <v>117</v>
      </c>
      <c r="H30" s="44" t="s">
        <v>68</v>
      </c>
      <c r="I30" s="83">
        <v>17</v>
      </c>
      <c r="J30" s="46" t="s">
        <v>69</v>
      </c>
      <c r="K30" s="47">
        <v>52.4</v>
      </c>
      <c r="L30" s="48"/>
      <c r="M30" s="49"/>
      <c r="N30" s="50"/>
      <c r="O30" s="50"/>
      <c r="P30" s="48"/>
      <c r="Q30" s="53"/>
      <c r="R30" s="53">
        <f t="shared" si="0"/>
        <v>52.4</v>
      </c>
      <c r="S30" s="54" t="s">
        <v>8</v>
      </c>
      <c r="T30" s="194" t="s">
        <v>88</v>
      </c>
      <c r="U30" s="39" t="s">
        <v>109</v>
      </c>
      <c r="V30" s="26"/>
      <c r="W30" s="26"/>
      <c r="X30" s="26"/>
      <c r="Y30" s="26"/>
      <c r="Z30" s="27"/>
      <c r="AA30" s="41"/>
      <c r="AB30" s="114"/>
    </row>
    <row r="31" spans="1:28" s="28" customFormat="1" ht="20.100000000000001" customHeight="1">
      <c r="A31" s="129"/>
      <c r="B31" s="139"/>
      <c r="C31" s="58" t="s">
        <v>161</v>
      </c>
      <c r="D31" s="82">
        <v>118</v>
      </c>
      <c r="E31" s="44"/>
      <c r="F31" s="83">
        <v>7</v>
      </c>
      <c r="G31" s="82">
        <v>120</v>
      </c>
      <c r="H31" s="44" t="s">
        <v>68</v>
      </c>
      <c r="I31" s="83">
        <v>18</v>
      </c>
      <c r="J31" s="46" t="s">
        <v>69</v>
      </c>
      <c r="K31" s="47">
        <v>76.8</v>
      </c>
      <c r="L31" s="48"/>
      <c r="M31" s="49"/>
      <c r="N31" s="50"/>
      <c r="O31" s="50"/>
      <c r="P31" s="48"/>
      <c r="Q31" s="53"/>
      <c r="R31" s="53">
        <f t="shared" si="0"/>
        <v>76.8</v>
      </c>
      <c r="S31" s="54" t="s">
        <v>8</v>
      </c>
      <c r="T31" s="194" t="s">
        <v>88</v>
      </c>
      <c r="U31" s="39" t="s">
        <v>109</v>
      </c>
      <c r="V31" s="26"/>
      <c r="W31" s="26"/>
      <c r="X31" s="26"/>
      <c r="Y31" s="26"/>
      <c r="Z31" s="27"/>
      <c r="AA31" s="41"/>
      <c r="AB31" s="114"/>
    </row>
    <row r="32" spans="1:28" s="28" customFormat="1" ht="20.100000000000001" customHeight="1">
      <c r="A32" s="129"/>
      <c r="B32" s="139"/>
      <c r="C32" s="58" t="s">
        <v>161</v>
      </c>
      <c r="D32" s="82">
        <v>300</v>
      </c>
      <c r="E32" s="44" t="s">
        <v>68</v>
      </c>
      <c r="F32" s="83">
        <v>0</v>
      </c>
      <c r="G32" s="82">
        <v>302</v>
      </c>
      <c r="H32" s="44" t="s">
        <v>68</v>
      </c>
      <c r="I32" s="83">
        <v>0</v>
      </c>
      <c r="J32" s="46" t="s">
        <v>69</v>
      </c>
      <c r="K32" s="47">
        <v>53.55</v>
      </c>
      <c r="L32" s="48"/>
      <c r="M32" s="49"/>
      <c r="N32" s="50"/>
      <c r="O32" s="50"/>
      <c r="P32" s="48"/>
      <c r="Q32" s="53"/>
      <c r="R32" s="53">
        <f t="shared" si="0"/>
        <v>53.55</v>
      </c>
      <c r="S32" s="54" t="s">
        <v>8</v>
      </c>
      <c r="T32" s="194" t="s">
        <v>90</v>
      </c>
      <c r="U32" s="39" t="s">
        <v>108</v>
      </c>
      <c r="V32" s="26"/>
      <c r="W32" s="26"/>
      <c r="X32" s="26"/>
      <c r="Y32" s="26"/>
      <c r="Z32" s="27"/>
      <c r="AA32" s="41"/>
      <c r="AB32" s="114"/>
    </row>
    <row r="33" spans="1:28" s="28" customFormat="1" ht="20.100000000000001" customHeight="1">
      <c r="A33" s="129"/>
      <c r="B33" s="139"/>
      <c r="C33" s="58" t="s">
        <v>161</v>
      </c>
      <c r="D33" s="82">
        <v>300</v>
      </c>
      <c r="E33" s="44" t="s">
        <v>68</v>
      </c>
      <c r="F33" s="83">
        <v>0</v>
      </c>
      <c r="G33" s="82">
        <v>302</v>
      </c>
      <c r="H33" s="44" t="s">
        <v>68</v>
      </c>
      <c r="I33" s="83">
        <v>0</v>
      </c>
      <c r="J33" s="46" t="s">
        <v>70</v>
      </c>
      <c r="K33" s="47">
        <v>59.56</v>
      </c>
      <c r="L33" s="48"/>
      <c r="M33" s="49"/>
      <c r="N33" s="50"/>
      <c r="O33" s="50"/>
      <c r="P33" s="48"/>
      <c r="Q33" s="53"/>
      <c r="R33" s="53">
        <f t="shared" si="0"/>
        <v>59.56</v>
      </c>
      <c r="S33" s="54" t="s">
        <v>8</v>
      </c>
      <c r="T33" s="194" t="s">
        <v>90</v>
      </c>
      <c r="U33" s="39" t="s">
        <v>108</v>
      </c>
      <c r="V33" s="26"/>
      <c r="W33" s="26"/>
      <c r="X33" s="26"/>
      <c r="Y33" s="26"/>
      <c r="Z33" s="27"/>
      <c r="AA33" s="41"/>
      <c r="AB33" s="114"/>
    </row>
    <row r="34" spans="1:28" s="28" customFormat="1" ht="20.100000000000001" customHeight="1">
      <c r="A34" s="129"/>
      <c r="B34" s="139"/>
      <c r="C34" s="58" t="s">
        <v>163</v>
      </c>
      <c r="D34" s="82">
        <v>302</v>
      </c>
      <c r="E34" s="44" t="s">
        <v>68</v>
      </c>
      <c r="F34" s="83">
        <v>0</v>
      </c>
      <c r="G34" s="82">
        <v>303</v>
      </c>
      <c r="H34" s="44" t="s">
        <v>68</v>
      </c>
      <c r="I34" s="83">
        <v>0</v>
      </c>
      <c r="J34" s="46" t="s">
        <v>70</v>
      </c>
      <c r="K34" s="47">
        <v>24.55</v>
      </c>
      <c r="L34" s="48"/>
      <c r="M34" s="49"/>
      <c r="N34" s="50"/>
      <c r="O34" s="50"/>
      <c r="P34" s="48"/>
      <c r="Q34" s="53"/>
      <c r="R34" s="53">
        <f t="shared" si="0"/>
        <v>24.55</v>
      </c>
      <c r="S34" s="54" t="s">
        <v>8</v>
      </c>
      <c r="T34" s="194" t="s">
        <v>91</v>
      </c>
      <c r="U34" s="39" t="s">
        <v>108</v>
      </c>
      <c r="V34" s="26"/>
      <c r="W34" s="26"/>
      <c r="X34" s="26"/>
      <c r="Y34" s="26"/>
      <c r="Z34" s="27"/>
      <c r="AA34" s="41"/>
      <c r="AB34" s="114"/>
    </row>
    <row r="35" spans="1:28" s="28" customFormat="1" ht="20.100000000000001" customHeight="1">
      <c r="A35" s="129"/>
      <c r="B35" s="139"/>
      <c r="C35" s="58" t="s">
        <v>163</v>
      </c>
      <c r="D35" s="82">
        <v>302</v>
      </c>
      <c r="E35" s="44" t="s">
        <v>68</v>
      </c>
      <c r="F35" s="83">
        <v>0</v>
      </c>
      <c r="G35" s="82">
        <v>303</v>
      </c>
      <c r="H35" s="44" t="s">
        <v>68</v>
      </c>
      <c r="I35" s="83">
        <v>0</v>
      </c>
      <c r="J35" s="46" t="s">
        <v>70</v>
      </c>
      <c r="K35" s="47">
        <v>31.05</v>
      </c>
      <c r="L35" s="48"/>
      <c r="M35" s="49"/>
      <c r="N35" s="50"/>
      <c r="O35" s="50"/>
      <c r="P35" s="48"/>
      <c r="Q35" s="53"/>
      <c r="R35" s="53">
        <f t="shared" si="0"/>
        <v>31.05</v>
      </c>
      <c r="S35" s="54" t="s">
        <v>8</v>
      </c>
      <c r="T35" s="194" t="s">
        <v>91</v>
      </c>
      <c r="U35" s="39" t="s">
        <v>108</v>
      </c>
      <c r="V35" s="26"/>
      <c r="W35" s="26"/>
      <c r="X35" s="26"/>
      <c r="Y35" s="26"/>
      <c r="Z35" s="27"/>
      <c r="AA35" s="41"/>
      <c r="AB35" s="114"/>
    </row>
    <row r="36" spans="1:28" s="28" customFormat="1" ht="30">
      <c r="A36" s="129"/>
      <c r="B36" s="139"/>
      <c r="C36" s="58" t="s">
        <v>162</v>
      </c>
      <c r="D36" s="82">
        <v>300</v>
      </c>
      <c r="E36" s="44" t="s">
        <v>68</v>
      </c>
      <c r="F36" s="83">
        <v>0</v>
      </c>
      <c r="G36" s="82">
        <v>302</v>
      </c>
      <c r="H36" s="44" t="s">
        <v>68</v>
      </c>
      <c r="I36" s="83">
        <v>0</v>
      </c>
      <c r="J36" s="46" t="s">
        <v>70</v>
      </c>
      <c r="K36" s="47">
        <v>50.35</v>
      </c>
      <c r="L36" s="48"/>
      <c r="M36" s="49"/>
      <c r="N36" s="50"/>
      <c r="O36" s="50"/>
      <c r="P36" s="48"/>
      <c r="Q36" s="53"/>
      <c r="R36" s="53">
        <f t="shared" si="0"/>
        <v>50.35</v>
      </c>
      <c r="S36" s="54" t="s">
        <v>8</v>
      </c>
      <c r="T36" s="194" t="s">
        <v>91</v>
      </c>
      <c r="U36" s="39" t="s">
        <v>108</v>
      </c>
      <c r="V36" s="26"/>
      <c r="W36" s="26"/>
      <c r="X36" s="26"/>
      <c r="Y36" s="26"/>
      <c r="Z36" s="27"/>
      <c r="AA36" s="41"/>
      <c r="AB36" s="114"/>
    </row>
    <row r="37" spans="1:28" s="28" customFormat="1" ht="20.100000000000001" customHeight="1">
      <c r="A37" s="129"/>
      <c r="B37" s="139"/>
      <c r="C37" s="58" t="s">
        <v>161</v>
      </c>
      <c r="D37" s="82">
        <v>220</v>
      </c>
      <c r="E37" s="44" t="s">
        <v>68</v>
      </c>
      <c r="F37" s="83">
        <v>0</v>
      </c>
      <c r="G37" s="82">
        <v>227</v>
      </c>
      <c r="H37" s="44" t="s">
        <v>68</v>
      </c>
      <c r="I37" s="83">
        <v>0</v>
      </c>
      <c r="J37" s="46" t="s">
        <v>69</v>
      </c>
      <c r="K37" s="47">
        <f>35.3+119.81</f>
        <v>155.11000000000001</v>
      </c>
      <c r="L37" s="48"/>
      <c r="M37" s="49"/>
      <c r="N37" s="50"/>
      <c r="O37" s="50"/>
      <c r="P37" s="48"/>
      <c r="Q37" s="53"/>
      <c r="R37" s="53">
        <f t="shared" si="0"/>
        <v>155.11000000000001</v>
      </c>
      <c r="S37" s="54" t="s">
        <v>8</v>
      </c>
      <c r="T37" s="194" t="s">
        <v>91</v>
      </c>
      <c r="U37" s="39" t="s">
        <v>108</v>
      </c>
      <c r="V37" s="26"/>
      <c r="W37" s="26"/>
      <c r="X37" s="26"/>
      <c r="Y37" s="26"/>
      <c r="Z37" s="27"/>
      <c r="AA37" s="41"/>
      <c r="AB37" s="114"/>
    </row>
    <row r="38" spans="1:28" s="28" customFormat="1" ht="20.100000000000001" customHeight="1">
      <c r="A38" s="129"/>
      <c r="B38" s="139"/>
      <c r="C38" s="58" t="s">
        <v>161</v>
      </c>
      <c r="D38" s="82">
        <v>219</v>
      </c>
      <c r="E38" s="44" t="s">
        <v>68</v>
      </c>
      <c r="F38" s="83">
        <v>10</v>
      </c>
      <c r="G38" s="82">
        <v>220</v>
      </c>
      <c r="H38" s="44" t="s">
        <v>68</v>
      </c>
      <c r="I38" s="83">
        <v>0</v>
      </c>
      <c r="J38" s="46" t="s">
        <v>69</v>
      </c>
      <c r="K38" s="47">
        <v>15.23</v>
      </c>
      <c r="L38" s="48"/>
      <c r="M38" s="49"/>
      <c r="N38" s="50"/>
      <c r="O38" s="50"/>
      <c r="P38" s="48"/>
      <c r="Q38" s="53"/>
      <c r="R38" s="53">
        <f t="shared" si="0"/>
        <v>15.23</v>
      </c>
      <c r="S38" s="54" t="s">
        <v>8</v>
      </c>
      <c r="T38" s="194" t="s">
        <v>91</v>
      </c>
      <c r="U38" s="39" t="s">
        <v>108</v>
      </c>
      <c r="V38" s="26"/>
      <c r="W38" s="26"/>
      <c r="X38" s="26"/>
      <c r="Y38" s="26"/>
      <c r="Z38" s="27"/>
      <c r="AA38" s="41"/>
      <c r="AB38" s="114"/>
    </row>
    <row r="39" spans="1:28" s="28" customFormat="1" ht="20.100000000000001" customHeight="1">
      <c r="A39" s="129"/>
      <c r="B39" s="139"/>
      <c r="C39" s="58" t="s">
        <v>161</v>
      </c>
      <c r="D39" s="82">
        <v>219</v>
      </c>
      <c r="E39" s="44" t="s">
        <v>68</v>
      </c>
      <c r="F39" s="83">
        <v>0</v>
      </c>
      <c r="G39" s="82">
        <v>221</v>
      </c>
      <c r="H39" s="44" t="s">
        <v>68</v>
      </c>
      <c r="I39" s="83">
        <v>10</v>
      </c>
      <c r="J39" s="46" t="s">
        <v>70</v>
      </c>
      <c r="K39" s="47">
        <v>72.77</v>
      </c>
      <c r="L39" s="48"/>
      <c r="M39" s="49"/>
      <c r="N39" s="50"/>
      <c r="O39" s="50"/>
      <c r="P39" s="48"/>
      <c r="Q39" s="53"/>
      <c r="R39" s="53">
        <f t="shared" si="0"/>
        <v>72.77</v>
      </c>
      <c r="S39" s="54" t="s">
        <v>8</v>
      </c>
      <c r="T39" s="194" t="s">
        <v>91</v>
      </c>
      <c r="U39" s="39" t="s">
        <v>108</v>
      </c>
      <c r="V39" s="26"/>
      <c r="W39" s="26"/>
      <c r="X39" s="26"/>
      <c r="Y39" s="26"/>
      <c r="Z39" s="27"/>
      <c r="AA39" s="41"/>
      <c r="AB39" s="114"/>
    </row>
    <row r="40" spans="1:28" s="28" customFormat="1" ht="20.100000000000001" customHeight="1">
      <c r="A40" s="129"/>
      <c r="B40" s="139"/>
      <c r="C40" s="58" t="s">
        <v>161</v>
      </c>
      <c r="D40" s="82">
        <v>305</v>
      </c>
      <c r="E40" s="44" t="s">
        <v>68</v>
      </c>
      <c r="F40" s="83">
        <v>0</v>
      </c>
      <c r="G40" s="82">
        <v>306</v>
      </c>
      <c r="H40" s="44" t="s">
        <v>68</v>
      </c>
      <c r="I40" s="83">
        <v>0</v>
      </c>
      <c r="J40" s="46" t="s">
        <v>69</v>
      </c>
      <c r="K40" s="47">
        <v>35.28</v>
      </c>
      <c r="L40" s="48"/>
      <c r="M40" s="49"/>
      <c r="N40" s="50"/>
      <c r="O40" s="50"/>
      <c r="P40" s="48"/>
      <c r="Q40" s="53"/>
      <c r="R40" s="53">
        <f t="shared" si="0"/>
        <v>35.28</v>
      </c>
      <c r="S40" s="54" t="s">
        <v>8</v>
      </c>
      <c r="T40" s="194" t="s">
        <v>91</v>
      </c>
      <c r="U40" s="39" t="s">
        <v>108</v>
      </c>
      <c r="V40" s="26"/>
      <c r="W40" s="26"/>
      <c r="X40" s="26"/>
      <c r="Y40" s="26"/>
      <c r="Z40" s="27"/>
      <c r="AA40" s="41"/>
      <c r="AB40" s="114"/>
    </row>
    <row r="41" spans="1:28" s="28" customFormat="1" ht="20.100000000000001" customHeight="1">
      <c r="A41" s="129"/>
      <c r="B41" s="139"/>
      <c r="C41" s="58"/>
      <c r="D41" s="43"/>
      <c r="E41" s="44"/>
      <c r="F41" s="45"/>
      <c r="G41" s="43"/>
      <c r="H41" s="44"/>
      <c r="I41" s="45"/>
      <c r="J41" s="46"/>
      <c r="K41" s="47"/>
      <c r="L41" s="48"/>
      <c r="M41" s="49"/>
      <c r="N41" s="50"/>
      <c r="O41" s="50"/>
      <c r="P41" s="48"/>
      <c r="Q41" s="53"/>
      <c r="R41" s="53"/>
      <c r="S41" s="54"/>
      <c r="T41" s="55"/>
      <c r="U41" s="56"/>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9" customFormat="1" ht="20.100000000000001" customHeight="1">
      <c r="A48" s="14"/>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42"/>
    </row>
    <row r="49" spans="1:28" s="28" customFormat="1" ht="20.100000000000001" customHeight="1">
      <c r="A49" s="129"/>
      <c r="B49" s="128"/>
      <c r="C49" s="127"/>
      <c r="D49" s="126"/>
      <c r="E49" s="125"/>
      <c r="F49" s="124"/>
      <c r="G49" s="126"/>
      <c r="H49" s="125"/>
      <c r="I49" s="124"/>
      <c r="J49" s="123"/>
      <c r="K49" s="122"/>
      <c r="L49" s="119"/>
      <c r="M49" s="121"/>
      <c r="N49" s="120"/>
      <c r="O49" s="120"/>
      <c r="P49" s="119"/>
      <c r="Q49" s="118"/>
      <c r="R49" s="118"/>
      <c r="S49" s="117"/>
      <c r="T49" s="116"/>
      <c r="U49" s="115"/>
      <c r="V49" s="26"/>
      <c r="W49" s="26"/>
      <c r="X49" s="26"/>
      <c r="Y49" s="26"/>
      <c r="Z49" s="27"/>
      <c r="AA49" s="41"/>
      <c r="AB49" s="114"/>
    </row>
    <row r="50" spans="1:28" ht="20.100000000000001" customHeight="1">
      <c r="B50" s="109"/>
      <c r="C50" s="113"/>
      <c r="D50" s="2715" t="s">
        <v>18</v>
      </c>
      <c r="E50" s="2671"/>
      <c r="F50" s="2671"/>
      <c r="G50" s="2671"/>
      <c r="H50" s="2671"/>
      <c r="I50" s="2672"/>
      <c r="J50" s="2723" t="e">
        <f>VLOOKUP(A52,#REF!,6,FALSE)</f>
        <v>#REF!</v>
      </c>
      <c r="K50" s="2695"/>
      <c r="L50" s="112" t="e">
        <f>VLOOKUP(A52,#REF!,4,FALSE)</f>
        <v>#REF!</v>
      </c>
      <c r="M50" s="2724" t="s">
        <v>19</v>
      </c>
      <c r="N50" s="2697"/>
      <c r="O50" s="2697"/>
      <c r="P50" s="2697"/>
      <c r="Q50" s="2698"/>
      <c r="R50" s="111">
        <f>SUM(R15:R49)</f>
        <v>1881.7199999999996</v>
      </c>
      <c r="S50" s="110" t="e">
        <f>L50</f>
        <v>#REF!</v>
      </c>
      <c r="T50" s="106"/>
      <c r="U50" s="105"/>
    </row>
    <row r="51" spans="1:28" ht="20.100000000000001" customHeight="1">
      <c r="B51" s="109"/>
      <c r="C51" s="72"/>
      <c r="D51" s="2678" t="s">
        <v>20</v>
      </c>
      <c r="E51" s="2679"/>
      <c r="F51" s="2679"/>
      <c r="G51" s="2679"/>
      <c r="H51" s="2679"/>
      <c r="I51" s="2680"/>
      <c r="J51" s="2699" t="e">
        <f>R50/J50</f>
        <v>#REF!</v>
      </c>
      <c r="K51" s="2700"/>
      <c r="L51" s="2703"/>
      <c r="M51" s="2720" t="s">
        <v>21</v>
      </c>
      <c r="N51" s="2721"/>
      <c r="O51" s="2721"/>
      <c r="P51" s="2721"/>
      <c r="Q51" s="2722"/>
      <c r="R51" s="108">
        <f>SUM(R15:R40)</f>
        <v>1881.7199999999996</v>
      </c>
      <c r="S51" s="107" t="e">
        <f>L50</f>
        <v>#REF!</v>
      </c>
      <c r="T51" s="106"/>
      <c r="U51" s="105"/>
    </row>
    <row r="52" spans="1:28" ht="20.100000000000001" customHeight="1">
      <c r="A52" s="12" t="s">
        <v>160</v>
      </c>
      <c r="B52" s="104"/>
      <c r="C52" s="73"/>
      <c r="D52" s="2715"/>
      <c r="E52" s="2671"/>
      <c r="F52" s="2671"/>
      <c r="G52" s="2671"/>
      <c r="H52" s="2671"/>
      <c r="I52" s="2672"/>
      <c r="J52" s="2725"/>
      <c r="K52" s="2702"/>
      <c r="L52" s="2704"/>
      <c r="M52" s="2720" t="s">
        <v>22</v>
      </c>
      <c r="N52" s="2721"/>
      <c r="O52" s="2721"/>
      <c r="P52" s="2721"/>
      <c r="Q52" s="2722"/>
      <c r="R52" s="103">
        <f>R50-R51</f>
        <v>0</v>
      </c>
      <c r="S52" s="102" t="e">
        <f>L50</f>
        <v>#REF!</v>
      </c>
      <c r="T52" s="101"/>
      <c r="U52" s="100"/>
    </row>
  </sheetData>
  <mergeCells count="34">
    <mergeCell ref="M51:Q51"/>
    <mergeCell ref="D50:I50"/>
    <mergeCell ref="J50:K50"/>
    <mergeCell ref="D51:I52"/>
    <mergeCell ref="J51:K52"/>
    <mergeCell ref="L51:L52"/>
    <mergeCell ref="M52:Q52"/>
    <mergeCell ref="V5:AA5"/>
    <mergeCell ref="M50:Q50"/>
    <mergeCell ref="M13:M14"/>
    <mergeCell ref="N13:N14"/>
    <mergeCell ref="O13:O14"/>
    <mergeCell ref="Q13:Q14"/>
    <mergeCell ref="T13:T14"/>
    <mergeCell ref="U13:U14"/>
    <mergeCell ref="R13:R14"/>
    <mergeCell ref="S13:S14"/>
    <mergeCell ref="T10:U10"/>
    <mergeCell ref="B1:U5"/>
    <mergeCell ref="B6:J6"/>
    <mergeCell ref="K6:U6"/>
    <mergeCell ref="T8:U8"/>
    <mergeCell ref="T9:U9"/>
    <mergeCell ref="K13:K14"/>
    <mergeCell ref="L13:L14"/>
    <mergeCell ref="P13:P14"/>
    <mergeCell ref="D14:F14"/>
    <mergeCell ref="C11:L11"/>
    <mergeCell ref="C12:L12"/>
    <mergeCell ref="B13:B14"/>
    <mergeCell ref="C13:C14"/>
    <mergeCell ref="D13:I13"/>
    <mergeCell ref="J13:J14"/>
    <mergeCell ref="G14:I14"/>
  </mergeCells>
  <conditionalFormatting sqref="J51:K52">
    <cfRule type="cellIs" dxfId="35" priority="1" operator="greaterThanOrEqual">
      <formula>1</formula>
    </cfRule>
    <cfRule type="cellIs" dxfId="34" priority="2" operator="greaterThan">
      <formula>100%</formula>
    </cfRule>
  </conditionalFormatting>
  <printOptions horizontalCentered="1"/>
  <pageMargins left="0.39370078740157483" right="0.39370078740157483" top="0.78740157480314965" bottom="0.78740157480314965" header="0" footer="0.19685039370078741"/>
  <pageSetup paperSize="9" scale="46" firstPageNumber="44"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336600"/>
    <pageSetUpPr fitToPage="1"/>
  </sheetPr>
  <dimension ref="A1:AJ52"/>
  <sheetViews>
    <sheetView view="pageBreakPreview" topLeftCell="A13" zoomScale="60" zoomScaleNormal="100" workbookViewId="0">
      <selection activeCell="AA50" sqref="AA50"/>
    </sheetView>
  </sheetViews>
  <sheetFormatPr defaultRowHeight="12.75"/>
  <cols>
    <col min="1" max="1" width="9.140625" style="12"/>
    <col min="2" max="2" width="14.2851562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8" width="15.7109375" style="8" customWidth="1"/>
    <col min="19" max="19" width="9" style="8" customWidth="1"/>
    <col min="20" max="20" width="14" style="8" customWidth="1"/>
    <col min="21" max="21" width="38.140625" style="8" bestFit="1" customWidth="1"/>
    <col min="22" max="27" width="9.140625" style="8"/>
    <col min="28" max="28" width="12.7109375" style="15" customWidth="1"/>
    <col min="29" max="16384" width="9.140625" style="8"/>
  </cols>
  <sheetData>
    <row r="1" spans="1:36" ht="18.75" customHeight="1">
      <c r="B1" s="2652" t="s">
        <v>115</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708" t="s">
        <v>9</v>
      </c>
      <c r="C6" s="2709"/>
      <c r="D6" s="2709"/>
      <c r="E6" s="2709"/>
      <c r="F6" s="2709"/>
      <c r="G6" s="2709"/>
      <c r="H6" s="2709"/>
      <c r="I6" s="2709"/>
      <c r="J6" s="2709"/>
      <c r="K6" s="2710" t="s">
        <v>10</v>
      </c>
      <c r="L6" s="2711"/>
      <c r="M6" s="2711"/>
      <c r="N6" s="2711"/>
      <c r="O6" s="2711"/>
      <c r="P6" s="2711"/>
      <c r="Q6" s="2711"/>
      <c r="R6" s="2711"/>
      <c r="S6" s="2711"/>
      <c r="T6" s="2711"/>
      <c r="U6" s="2712"/>
      <c r="V6" s="99"/>
      <c r="W6" s="99"/>
      <c r="X6" s="99"/>
      <c r="Y6" s="99"/>
      <c r="Z6" s="99"/>
      <c r="AA6" s="99"/>
      <c r="AB6" s="17"/>
    </row>
    <row r="7" spans="1:36" s="20" customFormat="1" ht="15.75">
      <c r="A7" s="19"/>
      <c r="B7" s="152" t="s">
        <v>96</v>
      </c>
      <c r="C7" s="149" t="e">
        <f>#REF!</f>
        <v>#REF!</v>
      </c>
      <c r="D7" s="145"/>
      <c r="E7" s="92"/>
      <c r="F7" s="92"/>
      <c r="G7" s="145"/>
      <c r="H7" s="92"/>
      <c r="I7" s="92"/>
      <c r="J7" s="200"/>
      <c r="K7" s="151" t="s">
        <v>190</v>
      </c>
      <c r="L7" s="94"/>
      <c r="M7" s="93"/>
      <c r="N7" s="93"/>
      <c r="O7" s="150"/>
      <c r="P7" s="93"/>
      <c r="Q7" s="93"/>
      <c r="R7" s="93"/>
      <c r="S7" s="94"/>
      <c r="T7" s="94"/>
      <c r="U7" s="95"/>
      <c r="AB7" s="21"/>
    </row>
    <row r="8" spans="1:36" s="20" customFormat="1" ht="15.75">
      <c r="A8" s="19"/>
      <c r="B8" s="148" t="s">
        <v>79</v>
      </c>
      <c r="C8" s="149" t="e">
        <f>#REF!</f>
        <v>#REF!</v>
      </c>
      <c r="D8" s="145"/>
      <c r="E8" s="92"/>
      <c r="F8" s="92"/>
      <c r="G8" s="145"/>
      <c r="H8" s="92"/>
      <c r="I8" s="92"/>
      <c r="J8" s="144"/>
      <c r="K8" s="146" t="s">
        <v>191</v>
      </c>
      <c r="L8" s="145"/>
      <c r="M8" s="145"/>
      <c r="N8" s="96"/>
      <c r="O8" s="96"/>
      <c r="P8" s="96"/>
      <c r="Q8" s="96"/>
      <c r="R8" s="96"/>
      <c r="S8" s="145"/>
      <c r="T8" s="2647"/>
      <c r="U8" s="2648"/>
      <c r="AB8" s="21"/>
    </row>
    <row r="9" spans="1:36" s="20" customFormat="1" ht="15.75">
      <c r="A9" s="19"/>
      <c r="B9" s="148" t="s">
        <v>11</v>
      </c>
      <c r="C9" s="147" t="e">
        <f>VLOOKUP(B9,[0]!_xlnm.Print_Area,2,FALSE)</f>
        <v>#REF!</v>
      </c>
      <c r="D9" s="145"/>
      <c r="E9" s="92"/>
      <c r="F9" s="92"/>
      <c r="G9" s="145"/>
      <c r="H9" s="92"/>
      <c r="I9" s="92"/>
      <c r="J9" s="144"/>
      <c r="K9" s="146" t="s">
        <v>192</v>
      </c>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147" t="e">
        <f>VLOOKUP(B10,[0]!_xlnm.Print_Area,2,FALSE)</f>
        <v>#REF!</v>
      </c>
      <c r="D10" s="145"/>
      <c r="E10" s="92"/>
      <c r="F10" s="92"/>
      <c r="G10" s="145"/>
      <c r="H10" s="92"/>
      <c r="I10" s="92"/>
      <c r="J10" s="201"/>
      <c r="K10" s="146" t="s">
        <v>193</v>
      </c>
      <c r="L10" s="92"/>
      <c r="M10" s="92"/>
      <c r="N10" s="92"/>
      <c r="O10" s="92"/>
      <c r="P10" s="202"/>
      <c r="Q10" s="92"/>
      <c r="R10" s="92"/>
      <c r="S10" s="92"/>
      <c r="T10" s="2660"/>
      <c r="U10" s="2661"/>
      <c r="AA10" s="22"/>
      <c r="AB10" s="22"/>
      <c r="AC10" s="22"/>
      <c r="AD10" s="22"/>
      <c r="AE10" s="22"/>
      <c r="AF10" s="22"/>
      <c r="AG10" s="22"/>
      <c r="AH10" s="22"/>
      <c r="AI10" s="22"/>
      <c r="AJ10" s="22"/>
    </row>
    <row r="11" spans="1:36" s="29" customFormat="1" ht="21" customHeight="1">
      <c r="A11" s="23"/>
      <c r="B11" s="143" t="str">
        <f>LEFT(A52,1)</f>
        <v>7</v>
      </c>
      <c r="C11" s="2713" t="e">
        <f>VLOOKUP(B11,#REF!,3,FALSE)</f>
        <v>#REF!</v>
      </c>
      <c r="D11" s="2714"/>
      <c r="E11" s="2714"/>
      <c r="F11" s="2714"/>
      <c r="G11" s="2714"/>
      <c r="H11" s="2714"/>
      <c r="I11" s="2714"/>
      <c r="J11" s="2714"/>
      <c r="K11" s="2714"/>
      <c r="L11" s="2714"/>
      <c r="M11" s="24"/>
      <c r="N11" s="24"/>
      <c r="O11" s="24"/>
      <c r="P11" s="24"/>
      <c r="Q11" s="24"/>
      <c r="R11" s="24"/>
      <c r="S11" s="24"/>
      <c r="T11" s="24"/>
      <c r="U11" s="25"/>
      <c r="V11" s="26"/>
      <c r="W11" s="26"/>
      <c r="X11" s="26"/>
      <c r="Y11" s="26"/>
      <c r="Z11" s="27"/>
      <c r="AA11" s="28"/>
      <c r="AB11" s="28"/>
      <c r="AC11" s="28"/>
      <c r="AD11" s="28"/>
      <c r="AE11" s="28"/>
      <c r="AF11" s="28"/>
      <c r="AG11" s="28"/>
      <c r="AH11" s="28"/>
      <c r="AI11" s="28"/>
      <c r="AJ11" s="28"/>
    </row>
    <row r="12" spans="1:36" s="29" customFormat="1" ht="25.5" customHeight="1">
      <c r="A12" s="23"/>
      <c r="B12" s="2664" t="e">
        <f>VLOOKUP(A52,#REF!,2,FALSE)</f>
        <v>#REF!</v>
      </c>
      <c r="C12" s="2665" t="e">
        <f>VLOOKUP(A52,#REF!,3,FALSE)</f>
        <v>#REF!</v>
      </c>
      <c r="D12" s="2666" t="s">
        <v>97</v>
      </c>
      <c r="E12" s="2666"/>
      <c r="F12" s="2666"/>
      <c r="G12" s="2666"/>
      <c r="H12" s="2666"/>
      <c r="I12" s="2666"/>
      <c r="J12" s="2668" t="s">
        <v>98</v>
      </c>
      <c r="K12" s="2668" t="s">
        <v>102</v>
      </c>
      <c r="L12" s="2668" t="s">
        <v>103</v>
      </c>
      <c r="M12" s="2668" t="s">
        <v>113</v>
      </c>
      <c r="N12" s="2668" t="s">
        <v>112</v>
      </c>
      <c r="O12" s="2668" t="s">
        <v>107</v>
      </c>
      <c r="P12" s="2668" t="s">
        <v>111</v>
      </c>
      <c r="Q12" s="2668" t="s">
        <v>16</v>
      </c>
      <c r="R12" s="2668" t="s">
        <v>2</v>
      </c>
      <c r="S12" s="2668" t="s">
        <v>99</v>
      </c>
      <c r="T12" s="2668" t="s">
        <v>17</v>
      </c>
      <c r="U12" s="2667" t="s">
        <v>110</v>
      </c>
      <c r="V12" s="26"/>
      <c r="W12" s="26"/>
      <c r="X12" s="26"/>
      <c r="Y12" s="26"/>
      <c r="Z12" s="27"/>
      <c r="AA12" s="28"/>
      <c r="AB12" s="28"/>
      <c r="AC12" s="28"/>
      <c r="AD12" s="28"/>
      <c r="AE12" s="28"/>
      <c r="AF12" s="28"/>
      <c r="AG12" s="28"/>
      <c r="AH12" s="28"/>
      <c r="AI12" s="28"/>
      <c r="AJ12" s="28"/>
    </row>
    <row r="13" spans="1:36" s="29" customFormat="1" ht="19.5" customHeight="1">
      <c r="A13" s="23"/>
      <c r="B13" s="2664"/>
      <c r="C13" s="2665"/>
      <c r="D13" s="2669" t="s">
        <v>14</v>
      </c>
      <c r="E13" s="2669"/>
      <c r="F13" s="2669"/>
      <c r="G13" s="2667" t="s">
        <v>15</v>
      </c>
      <c r="H13" s="2667"/>
      <c r="I13" s="2667"/>
      <c r="J13" s="2417"/>
      <c r="K13" s="2417"/>
      <c r="L13" s="2417"/>
      <c r="M13" s="2417"/>
      <c r="N13" s="2417"/>
      <c r="O13" s="2417"/>
      <c r="P13" s="2417"/>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39"/>
      <c r="C14" s="30" t="s">
        <v>166</v>
      </c>
      <c r="D14" s="82">
        <v>300</v>
      </c>
      <c r="E14" s="44" t="s">
        <v>68</v>
      </c>
      <c r="F14" s="83">
        <v>0</v>
      </c>
      <c r="G14" s="82">
        <v>302</v>
      </c>
      <c r="H14" s="44" t="s">
        <v>68</v>
      </c>
      <c r="I14" s="83">
        <v>10</v>
      </c>
      <c r="J14" s="34" t="s">
        <v>69</v>
      </c>
      <c r="K14" s="35"/>
      <c r="L14" s="48"/>
      <c r="M14" s="49"/>
      <c r="N14" s="50">
        <v>24.61</v>
      </c>
      <c r="O14" s="50"/>
      <c r="P14" s="48"/>
      <c r="Q14" s="53"/>
      <c r="R14" s="53">
        <f t="shared" ref="R14:R24" si="0">N14</f>
        <v>24.61</v>
      </c>
      <c r="S14" s="54" t="s">
        <v>7</v>
      </c>
      <c r="T14" s="141" t="s">
        <v>91</v>
      </c>
      <c r="U14" s="39" t="s">
        <v>167</v>
      </c>
      <c r="V14" s="26"/>
      <c r="W14" s="26"/>
      <c r="X14" s="26"/>
      <c r="Y14" s="26"/>
      <c r="Z14" s="27"/>
    </row>
    <row r="15" spans="1:36" s="28" customFormat="1" ht="20.100000000000001" customHeight="1">
      <c r="A15" s="129"/>
      <c r="B15" s="139"/>
      <c r="C15" s="30" t="s">
        <v>166</v>
      </c>
      <c r="D15" s="82">
        <v>303</v>
      </c>
      <c r="E15" s="44" t="s">
        <v>68</v>
      </c>
      <c r="F15" s="83">
        <v>0</v>
      </c>
      <c r="G15" s="82">
        <v>305</v>
      </c>
      <c r="H15" s="44" t="s">
        <v>68</v>
      </c>
      <c r="I15" s="83">
        <v>2</v>
      </c>
      <c r="J15" s="34" t="s">
        <v>69</v>
      </c>
      <c r="K15" s="35"/>
      <c r="L15" s="48"/>
      <c r="M15" s="49"/>
      <c r="N15" s="50">
        <v>18.18</v>
      </c>
      <c r="O15" s="50"/>
      <c r="P15" s="48"/>
      <c r="Q15" s="53"/>
      <c r="R15" s="53">
        <f t="shared" si="0"/>
        <v>18.18</v>
      </c>
      <c r="S15" s="54" t="s">
        <v>7</v>
      </c>
      <c r="T15" s="141" t="s">
        <v>91</v>
      </c>
      <c r="U15" s="39" t="s">
        <v>167</v>
      </c>
      <c r="V15" s="26"/>
      <c r="W15" s="26"/>
      <c r="X15" s="26"/>
      <c r="Y15" s="26"/>
      <c r="Z15" s="27"/>
      <c r="AA15" s="41"/>
      <c r="AB15" s="114"/>
    </row>
    <row r="16" spans="1:36" s="28" customFormat="1" ht="20.100000000000001" customHeight="1">
      <c r="A16" s="129"/>
      <c r="B16" s="139"/>
      <c r="C16" s="58" t="s">
        <v>166</v>
      </c>
      <c r="D16" s="82">
        <v>101</v>
      </c>
      <c r="E16" s="44" t="s">
        <v>68</v>
      </c>
      <c r="F16" s="83">
        <v>7</v>
      </c>
      <c r="G16" s="82">
        <v>104</v>
      </c>
      <c r="H16" s="44" t="s">
        <v>68</v>
      </c>
      <c r="I16" s="83">
        <v>0</v>
      </c>
      <c r="J16" s="46" t="s">
        <v>69</v>
      </c>
      <c r="K16" s="48"/>
      <c r="L16" s="48"/>
      <c r="M16" s="49"/>
      <c r="N16" s="50">
        <v>19.12</v>
      </c>
      <c r="O16" s="50"/>
      <c r="P16" s="48"/>
      <c r="Q16" s="53"/>
      <c r="R16" s="53">
        <f t="shared" si="0"/>
        <v>19.12</v>
      </c>
      <c r="S16" s="54" t="s">
        <v>7</v>
      </c>
      <c r="T16" s="141" t="s">
        <v>91</v>
      </c>
      <c r="U16" s="39" t="s">
        <v>167</v>
      </c>
      <c r="V16" s="26"/>
      <c r="W16" s="26"/>
      <c r="X16" s="26"/>
      <c r="Y16" s="26"/>
      <c r="Z16" s="27"/>
      <c r="AA16" s="41"/>
      <c r="AB16" s="114"/>
    </row>
    <row r="17" spans="1:28" s="28" customFormat="1" ht="20.100000000000001" customHeight="1">
      <c r="A17" s="129"/>
      <c r="B17" s="139"/>
      <c r="C17" s="30" t="s">
        <v>170</v>
      </c>
      <c r="D17" s="82">
        <v>219</v>
      </c>
      <c r="E17" s="44" t="s">
        <v>68</v>
      </c>
      <c r="F17" s="83">
        <v>0</v>
      </c>
      <c r="G17" s="82">
        <v>227</v>
      </c>
      <c r="H17" s="44" t="s">
        <v>68</v>
      </c>
      <c r="I17" s="83">
        <v>16</v>
      </c>
      <c r="J17" s="34" t="s">
        <v>69</v>
      </c>
      <c r="K17" s="35"/>
      <c r="L17" s="48"/>
      <c r="M17" s="49"/>
      <c r="N17" s="50">
        <f>16.14+52.36</f>
        <v>68.5</v>
      </c>
      <c r="O17" s="50"/>
      <c r="P17" s="48"/>
      <c r="Q17" s="53"/>
      <c r="R17" s="53">
        <f t="shared" si="0"/>
        <v>68.5</v>
      </c>
      <c r="S17" s="54" t="s">
        <v>7</v>
      </c>
      <c r="T17" s="141" t="s">
        <v>91</v>
      </c>
      <c r="U17" s="39" t="s">
        <v>167</v>
      </c>
      <c r="V17" s="26"/>
      <c r="W17" s="26"/>
      <c r="X17" s="26"/>
      <c r="Y17" s="26"/>
      <c r="Z17" s="27"/>
      <c r="AA17" s="41"/>
      <c r="AB17" s="114"/>
    </row>
    <row r="18" spans="1:28" s="28" customFormat="1" ht="20.100000000000001" customHeight="1">
      <c r="A18" s="129"/>
      <c r="B18" s="139"/>
      <c r="C18" s="30" t="s">
        <v>169</v>
      </c>
      <c r="D18" s="82">
        <v>219</v>
      </c>
      <c r="E18" s="44" t="s">
        <v>68</v>
      </c>
      <c r="F18" s="83">
        <v>10</v>
      </c>
      <c r="G18" s="82">
        <v>223</v>
      </c>
      <c r="H18" s="44" t="s">
        <v>68</v>
      </c>
      <c r="I18" s="83">
        <v>10</v>
      </c>
      <c r="J18" s="34" t="s">
        <v>105</v>
      </c>
      <c r="K18" s="47"/>
      <c r="L18" s="48"/>
      <c r="M18" s="49"/>
      <c r="N18" s="50">
        <v>68.22</v>
      </c>
      <c r="O18" s="50"/>
      <c r="P18" s="48"/>
      <c r="Q18" s="53"/>
      <c r="R18" s="53">
        <f t="shared" si="0"/>
        <v>68.22</v>
      </c>
      <c r="S18" s="54" t="s">
        <v>7</v>
      </c>
      <c r="T18" s="141" t="s">
        <v>91</v>
      </c>
      <c r="U18" s="39" t="s">
        <v>167</v>
      </c>
      <c r="V18" s="26"/>
      <c r="W18" s="26"/>
      <c r="X18" s="26"/>
      <c r="Y18" s="26"/>
      <c r="Z18" s="27"/>
      <c r="AA18" s="41"/>
      <c r="AB18" s="114"/>
    </row>
    <row r="19" spans="1:28" s="28" customFormat="1" ht="20.100000000000001" customHeight="1">
      <c r="A19" s="129"/>
      <c r="B19" s="139"/>
      <c r="C19" s="58" t="s">
        <v>166</v>
      </c>
      <c r="D19" s="82">
        <v>305</v>
      </c>
      <c r="E19" s="44" t="s">
        <v>68</v>
      </c>
      <c r="F19" s="83">
        <v>0</v>
      </c>
      <c r="G19" s="82">
        <v>306</v>
      </c>
      <c r="H19" s="44" t="s">
        <v>68</v>
      </c>
      <c r="I19" s="83">
        <v>2</v>
      </c>
      <c r="J19" s="46" t="s">
        <v>69</v>
      </c>
      <c r="K19" s="47"/>
      <c r="L19" s="48"/>
      <c r="M19" s="49"/>
      <c r="N19" s="50">
        <v>17.38</v>
      </c>
      <c r="O19" s="50"/>
      <c r="P19" s="48"/>
      <c r="Q19" s="53"/>
      <c r="R19" s="53">
        <f t="shared" si="0"/>
        <v>17.38</v>
      </c>
      <c r="S19" s="54" t="s">
        <v>7</v>
      </c>
      <c r="T19" s="141" t="s">
        <v>91</v>
      </c>
      <c r="U19" s="39" t="s">
        <v>167</v>
      </c>
      <c r="V19" s="26"/>
      <c r="W19" s="26"/>
      <c r="X19" s="26"/>
      <c r="Y19" s="26"/>
      <c r="Z19" s="27"/>
      <c r="AA19" s="41"/>
      <c r="AB19" s="114"/>
    </row>
    <row r="20" spans="1:28" s="28" customFormat="1" ht="20.100000000000001" customHeight="1">
      <c r="A20" s="129"/>
      <c r="B20" s="139"/>
      <c r="C20" s="58" t="s">
        <v>168</v>
      </c>
      <c r="D20" s="82">
        <v>225</v>
      </c>
      <c r="E20" s="44" t="s">
        <v>68</v>
      </c>
      <c r="F20" s="83">
        <v>10</v>
      </c>
      <c r="G20" s="82">
        <v>225</v>
      </c>
      <c r="H20" s="44"/>
      <c r="I20" s="83">
        <v>10</v>
      </c>
      <c r="J20" s="46" t="s">
        <v>70</v>
      </c>
      <c r="K20" s="47"/>
      <c r="L20" s="48"/>
      <c r="M20" s="49"/>
      <c r="N20" s="50">
        <v>6</v>
      </c>
      <c r="O20" s="50"/>
      <c r="P20" s="48"/>
      <c r="Q20" s="53"/>
      <c r="R20" s="53">
        <f t="shared" si="0"/>
        <v>6</v>
      </c>
      <c r="S20" s="54" t="s">
        <v>7</v>
      </c>
      <c r="T20" s="141" t="s">
        <v>91</v>
      </c>
      <c r="U20" s="39" t="s">
        <v>167</v>
      </c>
      <c r="V20" s="26"/>
      <c r="W20" s="26"/>
      <c r="X20" s="26"/>
      <c r="Y20" s="26"/>
      <c r="Z20" s="27"/>
      <c r="AA20" s="41"/>
      <c r="AB20" s="114"/>
    </row>
    <row r="21" spans="1:28" s="28" customFormat="1" ht="20.100000000000001" customHeight="1">
      <c r="A21" s="129"/>
      <c r="B21" s="139"/>
      <c r="C21" s="58" t="s">
        <v>166</v>
      </c>
      <c r="D21" s="82">
        <v>113</v>
      </c>
      <c r="E21" s="44" t="s">
        <v>68</v>
      </c>
      <c r="F21" s="83">
        <v>10</v>
      </c>
      <c r="G21" s="82">
        <v>114</v>
      </c>
      <c r="H21" s="44" t="s">
        <v>68</v>
      </c>
      <c r="I21" s="83">
        <v>0</v>
      </c>
      <c r="J21" s="46" t="s">
        <v>69</v>
      </c>
      <c r="K21" s="47"/>
      <c r="L21" s="48"/>
      <c r="M21" s="49"/>
      <c r="N21" s="50">
        <v>9.3000000000000007</v>
      </c>
      <c r="O21" s="50"/>
      <c r="P21" s="48"/>
      <c r="Q21" s="53"/>
      <c r="R21" s="53">
        <f t="shared" si="0"/>
        <v>9.3000000000000007</v>
      </c>
      <c r="S21" s="54" t="s">
        <v>7</v>
      </c>
      <c r="T21" s="141" t="s">
        <v>91</v>
      </c>
      <c r="U21" s="39" t="s">
        <v>165</v>
      </c>
      <c r="V21" s="26"/>
      <c r="W21" s="26"/>
      <c r="X21" s="26"/>
      <c r="Y21" s="26"/>
      <c r="Z21" s="27"/>
      <c r="AA21" s="41"/>
      <c r="AB21" s="114"/>
    </row>
    <row r="22" spans="1:28" s="28" customFormat="1" ht="20.100000000000001" customHeight="1">
      <c r="A22" s="129"/>
      <c r="B22" s="139"/>
      <c r="C22" s="58" t="s">
        <v>166</v>
      </c>
      <c r="D22" s="82">
        <v>114</v>
      </c>
      <c r="E22" s="44" t="s">
        <v>68</v>
      </c>
      <c r="F22" s="83">
        <v>7</v>
      </c>
      <c r="G22" s="82">
        <v>117</v>
      </c>
      <c r="H22" s="44" t="s">
        <v>68</v>
      </c>
      <c r="I22" s="83">
        <v>14</v>
      </c>
      <c r="J22" s="46" t="s">
        <v>69</v>
      </c>
      <c r="K22" s="47"/>
      <c r="L22" s="48"/>
      <c r="M22" s="49"/>
      <c r="N22" s="50">
        <v>30.14</v>
      </c>
      <c r="O22" s="50"/>
      <c r="P22" s="48"/>
      <c r="Q22" s="53"/>
      <c r="R22" s="53">
        <f t="shared" si="0"/>
        <v>30.14</v>
      </c>
      <c r="S22" s="54" t="s">
        <v>7</v>
      </c>
      <c r="T22" s="141" t="s">
        <v>91</v>
      </c>
      <c r="U22" s="39" t="s">
        <v>165</v>
      </c>
      <c r="V22" s="26"/>
      <c r="W22" s="26"/>
      <c r="X22" s="26"/>
      <c r="Y22" s="26"/>
      <c r="Z22" s="27"/>
      <c r="AA22" s="41"/>
      <c r="AB22" s="114"/>
    </row>
    <row r="23" spans="1:28" s="28" customFormat="1" ht="20.100000000000001" customHeight="1">
      <c r="A23" s="129"/>
      <c r="B23" s="139"/>
      <c r="C23" s="58" t="s">
        <v>166</v>
      </c>
      <c r="D23" s="82">
        <v>118</v>
      </c>
      <c r="E23" s="44" t="s">
        <v>68</v>
      </c>
      <c r="F23" s="83">
        <v>4</v>
      </c>
      <c r="G23" s="82">
        <v>120</v>
      </c>
      <c r="H23" s="44" t="s">
        <v>68</v>
      </c>
      <c r="I23" s="83">
        <v>14</v>
      </c>
      <c r="J23" s="46" t="s">
        <v>69</v>
      </c>
      <c r="K23" s="47"/>
      <c r="L23" s="48"/>
      <c r="M23" s="49"/>
      <c r="N23" s="50">
        <v>24.06</v>
      </c>
      <c r="O23" s="50"/>
      <c r="P23" s="48"/>
      <c r="Q23" s="53"/>
      <c r="R23" s="53">
        <f t="shared" si="0"/>
        <v>24.06</v>
      </c>
      <c r="S23" s="54" t="s">
        <v>7</v>
      </c>
      <c r="T23" s="141" t="s">
        <v>91</v>
      </c>
      <c r="U23" s="39" t="s">
        <v>165</v>
      </c>
      <c r="V23" s="26"/>
      <c r="W23" s="26"/>
      <c r="X23" s="26"/>
      <c r="Y23" s="26"/>
      <c r="Z23" s="27"/>
      <c r="AA23" s="41"/>
      <c r="AB23" s="114"/>
    </row>
    <row r="24" spans="1:28" s="28" customFormat="1" ht="20.100000000000001" customHeight="1">
      <c r="A24" s="129"/>
      <c r="B24" s="139"/>
      <c r="C24" s="58" t="s">
        <v>166</v>
      </c>
      <c r="D24" s="82">
        <v>121</v>
      </c>
      <c r="E24" s="44" t="s">
        <v>68</v>
      </c>
      <c r="F24" s="83">
        <v>1</v>
      </c>
      <c r="G24" s="82">
        <v>123</v>
      </c>
      <c r="H24" s="44" t="s">
        <v>68</v>
      </c>
      <c r="I24" s="83">
        <v>6.75</v>
      </c>
      <c r="J24" s="46" t="s">
        <v>69</v>
      </c>
      <c r="K24" s="47"/>
      <c r="L24" s="48"/>
      <c r="M24" s="49"/>
      <c r="N24" s="50">
        <v>22.97</v>
      </c>
      <c r="O24" s="50"/>
      <c r="P24" s="48"/>
      <c r="Q24" s="53"/>
      <c r="R24" s="53">
        <f t="shared" si="0"/>
        <v>22.97</v>
      </c>
      <c r="S24" s="54" t="s">
        <v>7</v>
      </c>
      <c r="T24" s="141" t="s">
        <v>91</v>
      </c>
      <c r="U24" s="39" t="s">
        <v>165</v>
      </c>
      <c r="V24" s="26"/>
      <c r="W24" s="26"/>
      <c r="X24" s="26"/>
      <c r="Y24" s="26"/>
      <c r="Z24" s="27"/>
      <c r="AA24" s="41"/>
      <c r="AB24" s="114"/>
    </row>
    <row r="25" spans="1:28" s="28" customFormat="1" ht="20.100000000000001" customHeight="1">
      <c r="A25" s="129"/>
      <c r="B25" s="139"/>
      <c r="C25" s="58"/>
      <c r="D25" s="43"/>
      <c r="E25" s="44"/>
      <c r="F25" s="45"/>
      <c r="G25" s="43"/>
      <c r="H25" s="44"/>
      <c r="I25" s="45"/>
      <c r="J25" s="46"/>
      <c r="K25" s="47"/>
      <c r="L25" s="48"/>
      <c r="M25" s="49"/>
      <c r="N25" s="50"/>
      <c r="O25" s="50"/>
      <c r="P25" s="48"/>
      <c r="Q25" s="53"/>
      <c r="R25" s="53"/>
      <c r="S25" s="80"/>
      <c r="T25" s="203"/>
      <c r="U25" s="56"/>
      <c r="V25" s="26"/>
      <c r="W25" s="26"/>
      <c r="X25" s="26"/>
      <c r="Y25" s="26"/>
      <c r="Z25" s="27"/>
      <c r="AA25" s="41"/>
      <c r="AB25" s="114"/>
    </row>
    <row r="26" spans="1:28" s="28" customFormat="1" ht="20.100000000000001" customHeight="1">
      <c r="A26" s="129"/>
      <c r="B26" s="139"/>
      <c r="C26" s="58"/>
      <c r="D26" s="43"/>
      <c r="E26" s="44"/>
      <c r="F26" s="45"/>
      <c r="G26" s="43"/>
      <c r="H26" s="44"/>
      <c r="I26" s="45"/>
      <c r="J26" s="46"/>
      <c r="K26" s="47"/>
      <c r="L26" s="48"/>
      <c r="M26" s="49"/>
      <c r="N26" s="50"/>
      <c r="O26" s="50"/>
      <c r="P26" s="48"/>
      <c r="Q26" s="53"/>
      <c r="R26" s="53"/>
      <c r="S26" s="54"/>
      <c r="T26" s="55"/>
      <c r="U26" s="56"/>
      <c r="V26" s="26"/>
      <c r="W26" s="26"/>
      <c r="X26" s="26"/>
      <c r="Y26" s="26"/>
      <c r="Z26" s="27"/>
      <c r="AA26" s="41"/>
      <c r="AB26" s="114"/>
    </row>
    <row r="27" spans="1:28" s="28" customFormat="1" ht="20.100000000000001" customHeight="1">
      <c r="A27" s="129"/>
      <c r="B27" s="139"/>
      <c r="C27" s="79"/>
      <c r="D27" s="85"/>
      <c r="E27" s="86"/>
      <c r="F27" s="87"/>
      <c r="G27" s="85"/>
      <c r="H27" s="86"/>
      <c r="I27" s="87"/>
      <c r="J27" s="138"/>
      <c r="K27" s="137"/>
      <c r="L27" s="134"/>
      <c r="M27" s="136"/>
      <c r="N27" s="135"/>
      <c r="O27" s="135"/>
      <c r="P27" s="134"/>
      <c r="Q27" s="133"/>
      <c r="R27" s="133"/>
      <c r="S27" s="132"/>
      <c r="T27" s="131"/>
      <c r="U27" s="130"/>
      <c r="V27" s="26"/>
      <c r="W27" s="26"/>
      <c r="X27" s="26"/>
      <c r="Y27" s="26"/>
      <c r="Z27" s="27"/>
      <c r="AA27" s="41"/>
      <c r="AB27" s="114"/>
    </row>
    <row r="28" spans="1:28" s="28" customFormat="1" ht="20.100000000000001" customHeight="1">
      <c r="A28" s="129"/>
      <c r="B28" s="139"/>
      <c r="C28" s="79"/>
      <c r="D28" s="85"/>
      <c r="E28" s="86"/>
      <c r="F28" s="87"/>
      <c r="G28" s="85"/>
      <c r="H28" s="86"/>
      <c r="I28" s="87"/>
      <c r="J28" s="138"/>
      <c r="K28" s="137"/>
      <c r="L28" s="134"/>
      <c r="M28" s="136"/>
      <c r="N28" s="135"/>
      <c r="O28" s="135"/>
      <c r="P28" s="134"/>
      <c r="Q28" s="133"/>
      <c r="R28" s="133"/>
      <c r="S28" s="132"/>
      <c r="T28" s="131"/>
      <c r="U28" s="130"/>
      <c r="V28" s="26"/>
      <c r="W28" s="26"/>
      <c r="X28" s="26"/>
      <c r="Y28" s="26"/>
      <c r="Z28" s="27"/>
      <c r="AA28" s="41"/>
      <c r="AB28" s="114"/>
    </row>
    <row r="29" spans="1:28" s="28" customFormat="1" ht="20.100000000000001" customHeight="1">
      <c r="A29" s="129"/>
      <c r="B29" s="139"/>
      <c r="C29" s="79"/>
      <c r="D29" s="85"/>
      <c r="E29" s="86"/>
      <c r="F29" s="87"/>
      <c r="G29" s="85"/>
      <c r="H29" s="86"/>
      <c r="I29" s="87"/>
      <c r="J29" s="138"/>
      <c r="K29" s="137"/>
      <c r="L29" s="134"/>
      <c r="M29" s="136"/>
      <c r="N29" s="135"/>
      <c r="O29" s="135"/>
      <c r="P29" s="134"/>
      <c r="Q29" s="133"/>
      <c r="R29" s="133"/>
      <c r="S29" s="132"/>
      <c r="T29" s="131"/>
      <c r="U29" s="130"/>
      <c r="V29" s="26"/>
      <c r="W29" s="26"/>
      <c r="X29" s="26"/>
      <c r="Y29" s="26"/>
      <c r="Z29" s="27"/>
      <c r="AA29" s="41"/>
      <c r="AB29" s="114"/>
    </row>
    <row r="30" spans="1:28" s="28" customFormat="1" ht="20.100000000000001" customHeight="1">
      <c r="A30" s="129"/>
      <c r="B30" s="139"/>
      <c r="C30" s="79"/>
      <c r="D30" s="85"/>
      <c r="E30" s="86"/>
      <c r="F30" s="87"/>
      <c r="G30" s="85"/>
      <c r="H30" s="86"/>
      <c r="I30" s="87"/>
      <c r="J30" s="138"/>
      <c r="K30" s="137"/>
      <c r="L30" s="134"/>
      <c r="M30" s="136"/>
      <c r="N30" s="135"/>
      <c r="O30" s="135"/>
      <c r="P30" s="134"/>
      <c r="Q30" s="133"/>
      <c r="R30" s="133"/>
      <c r="S30" s="132"/>
      <c r="T30" s="131"/>
      <c r="U30" s="130"/>
      <c r="V30" s="26"/>
      <c r="W30" s="26"/>
      <c r="X30" s="26"/>
      <c r="Y30" s="26"/>
      <c r="Z30" s="27"/>
      <c r="AA30" s="41"/>
      <c r="AB30" s="114"/>
    </row>
    <row r="31" spans="1:28" s="28" customFormat="1" ht="20.100000000000001" customHeight="1">
      <c r="A31" s="129"/>
      <c r="B31" s="139"/>
      <c r="C31" s="79"/>
      <c r="D31" s="85"/>
      <c r="E31" s="86"/>
      <c r="F31" s="87"/>
      <c r="G31" s="85"/>
      <c r="H31" s="86"/>
      <c r="I31" s="87"/>
      <c r="J31" s="138"/>
      <c r="K31" s="137"/>
      <c r="L31" s="134"/>
      <c r="M31" s="136"/>
      <c r="N31" s="135"/>
      <c r="O31" s="135"/>
      <c r="P31" s="134"/>
      <c r="Q31" s="133"/>
      <c r="R31" s="133"/>
      <c r="S31" s="132"/>
      <c r="T31" s="131"/>
      <c r="U31" s="130"/>
      <c r="V31" s="26"/>
      <c r="W31" s="26"/>
      <c r="X31" s="26"/>
      <c r="Y31" s="26"/>
      <c r="Z31" s="27"/>
      <c r="AA31" s="41"/>
      <c r="AB31" s="114"/>
    </row>
    <row r="32" spans="1:28" s="28" customFormat="1" ht="20.100000000000001" customHeight="1">
      <c r="A32" s="129"/>
      <c r="B32" s="139"/>
      <c r="C32" s="79"/>
      <c r="D32" s="85"/>
      <c r="E32" s="86"/>
      <c r="F32" s="87"/>
      <c r="G32" s="85"/>
      <c r="H32" s="86"/>
      <c r="I32" s="87"/>
      <c r="J32" s="138"/>
      <c r="K32" s="137"/>
      <c r="L32" s="134"/>
      <c r="M32" s="136"/>
      <c r="N32" s="135"/>
      <c r="O32" s="135"/>
      <c r="P32" s="134"/>
      <c r="Q32" s="133"/>
      <c r="R32" s="133"/>
      <c r="S32" s="132"/>
      <c r="T32" s="131"/>
      <c r="U32" s="130"/>
      <c r="V32" s="26"/>
      <c r="W32" s="26"/>
      <c r="X32" s="26"/>
      <c r="Y32" s="26"/>
      <c r="Z32" s="27"/>
      <c r="AA32" s="41"/>
      <c r="AB32" s="114"/>
    </row>
    <row r="33" spans="1:28" s="28" customFormat="1" ht="20.100000000000001" customHeight="1">
      <c r="A33" s="129"/>
      <c r="B33" s="139"/>
      <c r="C33" s="79"/>
      <c r="D33" s="85"/>
      <c r="E33" s="86"/>
      <c r="F33" s="87"/>
      <c r="G33" s="85"/>
      <c r="H33" s="86"/>
      <c r="I33" s="87"/>
      <c r="J33" s="138"/>
      <c r="K33" s="137"/>
      <c r="L33" s="134"/>
      <c r="M33" s="136"/>
      <c r="N33" s="135"/>
      <c r="O33" s="135"/>
      <c r="P33" s="134"/>
      <c r="Q33" s="133"/>
      <c r="R33" s="133"/>
      <c r="S33" s="132"/>
      <c r="T33" s="131"/>
      <c r="U33" s="130"/>
      <c r="V33" s="26"/>
      <c r="W33" s="26"/>
      <c r="X33" s="26"/>
      <c r="Y33" s="26"/>
      <c r="Z33" s="27"/>
      <c r="AA33" s="41"/>
      <c r="AB33" s="114"/>
    </row>
    <row r="34" spans="1:28" s="28" customFormat="1" ht="20.100000000000001" customHeight="1">
      <c r="A34" s="129"/>
      <c r="B34" s="139"/>
      <c r="C34" s="79"/>
      <c r="D34" s="85"/>
      <c r="E34" s="86"/>
      <c r="F34" s="87"/>
      <c r="G34" s="85"/>
      <c r="H34" s="86"/>
      <c r="I34" s="87"/>
      <c r="J34" s="138"/>
      <c r="K34" s="137"/>
      <c r="L34" s="134"/>
      <c r="M34" s="136"/>
      <c r="N34" s="135"/>
      <c r="O34" s="135"/>
      <c r="P34" s="134"/>
      <c r="Q34" s="133"/>
      <c r="R34" s="133"/>
      <c r="S34" s="132"/>
      <c r="T34" s="131"/>
      <c r="U34" s="130"/>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133"/>
      <c r="R35" s="133"/>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133"/>
      <c r="R36" s="133"/>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133"/>
      <c r="R37" s="133"/>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28" customFormat="1" ht="20.100000000000001" customHeight="1">
      <c r="A48" s="129"/>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114"/>
    </row>
    <row r="49" spans="1:28" s="28" customFormat="1" ht="20.100000000000001" customHeight="1">
      <c r="A49" s="129"/>
      <c r="B49" s="128"/>
      <c r="C49" s="127"/>
      <c r="D49" s="126"/>
      <c r="E49" s="125"/>
      <c r="F49" s="124"/>
      <c r="G49" s="126"/>
      <c r="H49" s="125"/>
      <c r="I49" s="124"/>
      <c r="J49" s="123"/>
      <c r="K49" s="122"/>
      <c r="L49" s="119"/>
      <c r="M49" s="121"/>
      <c r="N49" s="120"/>
      <c r="O49" s="120"/>
      <c r="P49" s="119"/>
      <c r="Q49" s="118"/>
      <c r="R49" s="118"/>
      <c r="S49" s="117"/>
      <c r="T49" s="116"/>
      <c r="U49" s="115"/>
      <c r="V49" s="26"/>
      <c r="W49" s="26"/>
      <c r="X49" s="26"/>
      <c r="Y49" s="26"/>
      <c r="Z49" s="27"/>
      <c r="AA49" s="41"/>
      <c r="AB49" s="114"/>
    </row>
    <row r="50" spans="1:28" ht="20.100000000000001" customHeight="1">
      <c r="B50" s="109"/>
      <c r="C50" s="113"/>
      <c r="D50" s="2715" t="s">
        <v>18</v>
      </c>
      <c r="E50" s="2671"/>
      <c r="F50" s="2671"/>
      <c r="G50" s="2671"/>
      <c r="H50" s="2671"/>
      <c r="I50" s="2672"/>
      <c r="J50" s="2723" t="e">
        <f>VLOOKUP(A52,#REF!,6,FALSE)</f>
        <v>#REF!</v>
      </c>
      <c r="K50" s="2695"/>
      <c r="L50" s="112" t="e">
        <f>VLOOKUP(A52,#REF!,4,FALSE)</f>
        <v>#REF!</v>
      </c>
      <c r="M50" s="2724" t="s">
        <v>19</v>
      </c>
      <c r="N50" s="2697"/>
      <c r="O50" s="2697"/>
      <c r="P50" s="2697"/>
      <c r="Q50" s="2698"/>
      <c r="R50" s="111">
        <f>SUM(R14:R49)</f>
        <v>308.48</v>
      </c>
      <c r="S50" s="110" t="e">
        <f>L50</f>
        <v>#REF!</v>
      </c>
      <c r="T50" s="106"/>
      <c r="U50" s="105"/>
    </row>
    <row r="51" spans="1:28" ht="20.100000000000001" customHeight="1">
      <c r="B51" s="109"/>
      <c r="C51" s="72"/>
      <c r="D51" s="2678" t="s">
        <v>20</v>
      </c>
      <c r="E51" s="2679"/>
      <c r="F51" s="2679"/>
      <c r="G51" s="2679"/>
      <c r="H51" s="2679"/>
      <c r="I51" s="2680"/>
      <c r="J51" s="2699" t="e">
        <f>R50/J50</f>
        <v>#REF!</v>
      </c>
      <c r="K51" s="2700"/>
      <c r="L51" s="2703"/>
      <c r="M51" s="2720" t="s">
        <v>21</v>
      </c>
      <c r="N51" s="2721"/>
      <c r="O51" s="2721"/>
      <c r="P51" s="2721"/>
      <c r="Q51" s="2722"/>
      <c r="R51" s="108" t="e">
        <f>VLOOKUP(A52,#REF!,8,FALSE)</f>
        <v>#REF!</v>
      </c>
      <c r="S51" s="107" t="e">
        <f>L50</f>
        <v>#REF!</v>
      </c>
      <c r="T51" s="106"/>
      <c r="U51" s="105"/>
    </row>
    <row r="52" spans="1:28" ht="20.100000000000001" customHeight="1">
      <c r="A52" s="12" t="s">
        <v>89</v>
      </c>
      <c r="B52" s="104"/>
      <c r="C52" s="73"/>
      <c r="D52" s="2715"/>
      <c r="E52" s="2671"/>
      <c r="F52" s="2671"/>
      <c r="G52" s="2671"/>
      <c r="H52" s="2671"/>
      <c r="I52" s="2672"/>
      <c r="J52" s="2725"/>
      <c r="K52" s="2702"/>
      <c r="L52" s="2704"/>
      <c r="M52" s="2720" t="s">
        <v>22</v>
      </c>
      <c r="N52" s="2721"/>
      <c r="O52" s="2721"/>
      <c r="P52" s="2721"/>
      <c r="Q52" s="2722"/>
      <c r="R52" s="103" t="e">
        <f>R50-R51</f>
        <v>#REF!</v>
      </c>
      <c r="S52" s="102" t="e">
        <f>L50</f>
        <v>#REF!</v>
      </c>
      <c r="T52" s="101"/>
      <c r="U52" s="100"/>
    </row>
  </sheetData>
  <mergeCells count="33">
    <mergeCell ref="T12:T13"/>
    <mergeCell ref="U12:U13"/>
    <mergeCell ref="R12:R13"/>
    <mergeCell ref="S12:S13"/>
    <mergeCell ref="P12:P13"/>
    <mergeCell ref="V5:AA5"/>
    <mergeCell ref="D51:I52"/>
    <mergeCell ref="J51:K52"/>
    <mergeCell ref="L51:L52"/>
    <mergeCell ref="M51:Q51"/>
    <mergeCell ref="M52:Q52"/>
    <mergeCell ref="D50:I50"/>
    <mergeCell ref="J50:K50"/>
    <mergeCell ref="M50:Q50"/>
    <mergeCell ref="M12:M13"/>
    <mergeCell ref="N12:N13"/>
    <mergeCell ref="O12:O13"/>
    <mergeCell ref="Q12:Q13"/>
    <mergeCell ref="C11:L11"/>
    <mergeCell ref="L12:L13"/>
    <mergeCell ref="T10:U10"/>
    <mergeCell ref="B12:B13"/>
    <mergeCell ref="C12:C13"/>
    <mergeCell ref="D12:I12"/>
    <mergeCell ref="J12:J13"/>
    <mergeCell ref="K12:K13"/>
    <mergeCell ref="D13:F13"/>
    <mergeCell ref="G13:I13"/>
    <mergeCell ref="B1:U5"/>
    <mergeCell ref="B6:J6"/>
    <mergeCell ref="K6:U6"/>
    <mergeCell ref="T8:U8"/>
    <mergeCell ref="T9:U9"/>
  </mergeCells>
  <conditionalFormatting sqref="J51:K52">
    <cfRule type="cellIs" dxfId="33" priority="1" operator="greaterThanOrEqual">
      <formula>1</formula>
    </cfRule>
    <cfRule type="cellIs" dxfId="32" priority="2" operator="greaterThan">
      <formula>100%</formula>
    </cfRule>
  </conditionalFormatting>
  <printOptions horizontalCentered="1"/>
  <pageMargins left="0.39370078740157483" right="0.39370078740157483" top="0.78740157480314965" bottom="0.78740157480314965" header="0" footer="0.19685039370078741"/>
  <pageSetup paperSize="9" scale="45"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336600"/>
    <pageSetUpPr fitToPage="1"/>
  </sheetPr>
  <dimension ref="A1:AJ52"/>
  <sheetViews>
    <sheetView view="pageBreakPreview" zoomScale="60" zoomScaleNormal="100" workbookViewId="0">
      <selection activeCell="AA50" sqref="AA50"/>
    </sheetView>
  </sheetViews>
  <sheetFormatPr defaultRowHeight="12.75"/>
  <cols>
    <col min="1" max="1" width="9.140625" style="12"/>
    <col min="2" max="2" width="14.2851562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1" width="16.7109375" style="8" customWidth="1"/>
    <col min="12" max="15" width="15.7109375" style="8" customWidth="1"/>
    <col min="16" max="16" width="17" style="8" customWidth="1"/>
    <col min="17" max="18" width="15.7109375" style="8" customWidth="1"/>
    <col min="19" max="19" width="9" style="8" customWidth="1"/>
    <col min="20" max="20" width="15.28515625" style="8" customWidth="1"/>
    <col min="21" max="21" width="38.140625" style="8" bestFit="1" customWidth="1"/>
    <col min="22" max="27" width="9.140625" style="8"/>
    <col min="28" max="28" width="12.7109375" style="15" customWidth="1"/>
    <col min="29" max="16384" width="9.140625" style="8"/>
  </cols>
  <sheetData>
    <row r="1" spans="1:36" ht="18.75" customHeight="1">
      <c r="B1" s="2652" t="s">
        <v>115</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690" t="s">
        <v>9</v>
      </c>
      <c r="C6" s="2657"/>
      <c r="D6" s="2657"/>
      <c r="E6" s="2657"/>
      <c r="F6" s="2657"/>
      <c r="G6" s="2657"/>
      <c r="H6" s="2657"/>
      <c r="I6" s="2657"/>
      <c r="J6" s="238"/>
      <c r="K6" s="2649" t="s">
        <v>10</v>
      </c>
      <c r="L6" s="2650"/>
      <c r="M6" s="2650"/>
      <c r="N6" s="2650"/>
      <c r="O6" s="2650"/>
      <c r="P6" s="2650"/>
      <c r="Q6" s="2650"/>
      <c r="R6" s="2650"/>
      <c r="S6" s="2650"/>
      <c r="T6" s="2650"/>
      <c r="U6" s="2651"/>
      <c r="V6" s="99"/>
      <c r="W6" s="99"/>
      <c r="X6" s="99"/>
      <c r="Y6" s="99"/>
      <c r="Z6" s="99"/>
      <c r="AA6" s="99"/>
      <c r="AB6" s="17"/>
    </row>
    <row r="7" spans="1:36" s="20" customFormat="1" ht="15.75">
      <c r="A7" s="19"/>
      <c r="B7" s="152" t="s">
        <v>96</v>
      </c>
      <c r="C7" s="149" t="e">
        <f>#REF!</f>
        <v>#REF!</v>
      </c>
      <c r="D7" s="145"/>
      <c r="E7" s="92"/>
      <c r="F7" s="92"/>
      <c r="G7" s="145"/>
      <c r="H7" s="92"/>
      <c r="I7" s="92"/>
      <c r="J7" s="200"/>
      <c r="K7" s="151" t="s">
        <v>190</v>
      </c>
      <c r="L7" s="239"/>
      <c r="M7" s="240"/>
      <c r="N7" s="240"/>
      <c r="O7" s="240"/>
      <c r="P7" s="240"/>
      <c r="Q7" s="240"/>
      <c r="R7" s="240"/>
      <c r="S7" s="239"/>
      <c r="T7" s="239"/>
      <c r="U7" s="241"/>
      <c r="AB7" s="21"/>
    </row>
    <row r="8" spans="1:36" s="20" customFormat="1" ht="15.75">
      <c r="A8" s="19"/>
      <c r="B8" s="148" t="s">
        <v>79</v>
      </c>
      <c r="C8" s="149" t="e">
        <f>#REF!</f>
        <v>#REF!</v>
      </c>
      <c r="D8" s="145"/>
      <c r="E8" s="92"/>
      <c r="F8" s="92"/>
      <c r="G8" s="145"/>
      <c r="H8" s="92"/>
      <c r="I8" s="92"/>
      <c r="J8" s="144"/>
      <c r="K8" s="146" t="s">
        <v>191</v>
      </c>
      <c r="L8" s="145"/>
      <c r="M8" s="145"/>
      <c r="N8" s="96"/>
      <c r="O8" s="96"/>
      <c r="P8" s="96"/>
      <c r="Q8" s="96"/>
      <c r="R8" s="96"/>
      <c r="S8" s="145"/>
      <c r="T8" s="2647"/>
      <c r="U8" s="2648"/>
      <c r="AB8" s="21"/>
    </row>
    <row r="9" spans="1:36" s="20" customFormat="1" ht="15.75">
      <c r="A9" s="19"/>
      <c r="B9" s="148" t="s">
        <v>11</v>
      </c>
      <c r="C9" s="147" t="e">
        <f>VLOOKUP(B9,[0]!_xlnm.Print_Area,2,FALSE)</f>
        <v>#REF!</v>
      </c>
      <c r="D9" s="145"/>
      <c r="E9" s="92"/>
      <c r="F9" s="92"/>
      <c r="G9" s="145"/>
      <c r="H9" s="92"/>
      <c r="I9" s="92"/>
      <c r="J9" s="144"/>
      <c r="K9" s="146" t="s">
        <v>192</v>
      </c>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147" t="e">
        <f>VLOOKUP(B10,[0]!_xlnm.Print_Area,2,FALSE)</f>
        <v>#REF!</v>
      </c>
      <c r="D10" s="145"/>
      <c r="E10" s="92"/>
      <c r="F10" s="92"/>
      <c r="G10" s="145"/>
      <c r="H10" s="92"/>
      <c r="I10" s="92"/>
      <c r="J10" s="201"/>
      <c r="K10" s="146" t="s">
        <v>193</v>
      </c>
      <c r="L10" s="92"/>
      <c r="M10" s="92"/>
      <c r="N10" s="92"/>
      <c r="O10" s="92"/>
      <c r="P10" s="202"/>
      <c r="Q10" s="92"/>
      <c r="R10" s="92"/>
      <c r="S10" s="92"/>
      <c r="T10" s="2660"/>
      <c r="U10" s="2661"/>
      <c r="AA10" s="22"/>
      <c r="AB10" s="22"/>
      <c r="AC10" s="22"/>
      <c r="AD10" s="22"/>
      <c r="AE10" s="22"/>
      <c r="AF10" s="22"/>
      <c r="AG10" s="22"/>
      <c r="AH10" s="22"/>
      <c r="AI10" s="22"/>
      <c r="AJ10" s="22"/>
    </row>
    <row r="11" spans="1:36" s="29" customFormat="1" ht="21" customHeight="1">
      <c r="A11" s="23"/>
      <c r="B11" s="143" t="str">
        <f>LEFT(A52,1)</f>
        <v>7</v>
      </c>
      <c r="C11" s="2692" t="e">
        <f>VLOOKUP(B11,#REF!,3,FALSE)</f>
        <v>#REF!</v>
      </c>
      <c r="D11" s="2693"/>
      <c r="E11" s="2693"/>
      <c r="F11" s="2693"/>
      <c r="G11" s="2693"/>
      <c r="H11" s="2693"/>
      <c r="I11" s="2693"/>
      <c r="J11" s="2693"/>
      <c r="K11" s="2693"/>
      <c r="L11" s="2693"/>
      <c r="M11" s="242"/>
      <c r="N11" s="242"/>
      <c r="O11" s="242"/>
      <c r="P11" s="242"/>
      <c r="Q11" s="242"/>
      <c r="R11" s="242"/>
      <c r="S11" s="242"/>
      <c r="T11" s="242"/>
      <c r="U11" s="243"/>
      <c r="V11" s="26"/>
      <c r="W11" s="26"/>
      <c r="X11" s="26"/>
      <c r="Y11" s="26"/>
      <c r="Z11" s="27"/>
      <c r="AA11" s="28"/>
      <c r="AB11" s="28"/>
      <c r="AC11" s="28"/>
      <c r="AD11" s="28"/>
      <c r="AE11" s="28"/>
      <c r="AF11" s="28"/>
      <c r="AG11" s="28"/>
      <c r="AH11" s="28"/>
      <c r="AI11" s="28"/>
      <c r="AJ11" s="28"/>
    </row>
    <row r="12" spans="1:36" s="29" customFormat="1" ht="24.95" customHeight="1">
      <c r="A12" s="23"/>
      <c r="B12" s="2664" t="e">
        <f>VLOOKUP(A52,#REF!,2,FALSE)</f>
        <v>#REF!</v>
      </c>
      <c r="C12" s="2665" t="e">
        <f>VLOOKUP(A52,#REF!,3,FALSE)</f>
        <v>#REF!</v>
      </c>
      <c r="D12" s="2666" t="s">
        <v>97</v>
      </c>
      <c r="E12" s="2666"/>
      <c r="F12" s="2666"/>
      <c r="G12" s="2666"/>
      <c r="H12" s="2666"/>
      <c r="I12" s="2666"/>
      <c r="J12" s="2668" t="s">
        <v>98</v>
      </c>
      <c r="K12" s="2668" t="s">
        <v>102</v>
      </c>
      <c r="L12" s="2668" t="s">
        <v>220</v>
      </c>
      <c r="M12" s="2668" t="s">
        <v>113</v>
      </c>
      <c r="N12" s="2668" t="s">
        <v>112</v>
      </c>
      <c r="O12" s="2668" t="s">
        <v>221</v>
      </c>
      <c r="P12" s="2668" t="s">
        <v>111</v>
      </c>
      <c r="Q12" s="2668" t="s">
        <v>16</v>
      </c>
      <c r="R12" s="2668" t="s">
        <v>2</v>
      </c>
      <c r="S12" s="2668" t="s">
        <v>99</v>
      </c>
      <c r="T12" s="2668" t="s">
        <v>17</v>
      </c>
      <c r="U12" s="2667" t="s">
        <v>110</v>
      </c>
      <c r="V12" s="26"/>
      <c r="W12" s="26"/>
      <c r="X12" s="26"/>
      <c r="Y12" s="26"/>
      <c r="Z12" s="27"/>
      <c r="AA12" s="28"/>
      <c r="AB12" s="28"/>
      <c r="AC12" s="28"/>
      <c r="AD12" s="28"/>
      <c r="AE12" s="28"/>
      <c r="AF12" s="28"/>
      <c r="AG12" s="28"/>
      <c r="AH12" s="28"/>
      <c r="AI12" s="28"/>
      <c r="AJ12" s="28"/>
    </row>
    <row r="13" spans="1:36" s="29" customFormat="1" ht="24.95" customHeight="1">
      <c r="A13" s="23"/>
      <c r="B13" s="2664"/>
      <c r="C13" s="2665"/>
      <c r="D13" s="2669" t="s">
        <v>14</v>
      </c>
      <c r="E13" s="2669"/>
      <c r="F13" s="2669"/>
      <c r="G13" s="2667" t="s">
        <v>15</v>
      </c>
      <c r="H13" s="2667"/>
      <c r="I13" s="2667"/>
      <c r="J13" s="2417"/>
      <c r="K13" s="2417"/>
      <c r="L13" s="2417"/>
      <c r="M13" s="2417"/>
      <c r="N13" s="2417"/>
      <c r="O13" s="2417"/>
      <c r="P13" s="2417"/>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57"/>
      <c r="C14" s="58" t="s">
        <v>173</v>
      </c>
      <c r="D14" s="82">
        <v>219</v>
      </c>
      <c r="E14" s="44" t="s">
        <v>68</v>
      </c>
      <c r="F14" s="83">
        <v>10</v>
      </c>
      <c r="G14" s="82">
        <v>223</v>
      </c>
      <c r="H14" s="44" t="s">
        <v>68</v>
      </c>
      <c r="I14" s="83">
        <v>10</v>
      </c>
      <c r="J14" s="46" t="s">
        <v>105</v>
      </c>
      <c r="K14" s="47">
        <v>148.22999999999999</v>
      </c>
      <c r="L14" s="48"/>
      <c r="M14" s="49"/>
      <c r="N14" s="50">
        <v>848.34</v>
      </c>
      <c r="O14" s="50"/>
      <c r="P14" s="48"/>
      <c r="Q14" s="53"/>
      <c r="R14" s="53">
        <f>N14</f>
        <v>848.34</v>
      </c>
      <c r="S14" s="54" t="s">
        <v>7</v>
      </c>
      <c r="T14" s="141" t="s">
        <v>91</v>
      </c>
      <c r="U14" s="39" t="s">
        <v>167</v>
      </c>
      <c r="V14" s="26"/>
      <c r="W14" s="26"/>
      <c r="X14" s="26"/>
      <c r="Y14" s="26"/>
      <c r="Z14" s="27"/>
    </row>
    <row r="15" spans="1:36" s="28" customFormat="1" ht="20.100000000000001" customHeight="1">
      <c r="A15" s="129"/>
      <c r="B15" s="57"/>
      <c r="C15" s="58" t="s">
        <v>172</v>
      </c>
      <c r="D15" s="82">
        <v>219</v>
      </c>
      <c r="E15" s="44" t="s">
        <v>68</v>
      </c>
      <c r="F15" s="83">
        <v>2</v>
      </c>
      <c r="G15" s="82">
        <v>226</v>
      </c>
      <c r="H15" s="44" t="s">
        <v>68</v>
      </c>
      <c r="I15" s="83">
        <v>10</v>
      </c>
      <c r="J15" s="46" t="s">
        <v>69</v>
      </c>
      <c r="K15" s="35">
        <v>80</v>
      </c>
      <c r="L15" s="48"/>
      <c r="M15" s="49"/>
      <c r="N15" s="50">
        <v>172.87</v>
      </c>
      <c r="O15" s="50"/>
      <c r="P15" s="48"/>
      <c r="Q15" s="53"/>
      <c r="R15" s="53">
        <f>N15</f>
        <v>172.87</v>
      </c>
      <c r="S15" s="54" t="s">
        <v>7</v>
      </c>
      <c r="T15" s="141" t="s">
        <v>91</v>
      </c>
      <c r="U15" s="39" t="s">
        <v>167</v>
      </c>
      <c r="V15" s="26"/>
      <c r="W15" s="26"/>
      <c r="X15" s="26"/>
      <c r="Y15" s="26"/>
      <c r="Z15" s="27"/>
      <c r="AA15" s="41"/>
      <c r="AB15" s="114"/>
    </row>
    <row r="16" spans="1:36" s="28" customFormat="1" ht="20.100000000000001" customHeight="1">
      <c r="A16" s="129"/>
      <c r="B16" s="139"/>
      <c r="C16" s="58" t="s">
        <v>209</v>
      </c>
      <c r="D16" s="82">
        <v>219</v>
      </c>
      <c r="E16" s="44" t="s">
        <v>68</v>
      </c>
      <c r="F16" s="83">
        <v>10</v>
      </c>
      <c r="G16" s="82">
        <v>220</v>
      </c>
      <c r="H16" s="44" t="s">
        <v>68</v>
      </c>
      <c r="I16" s="83">
        <v>15</v>
      </c>
      <c r="J16" s="46" t="s">
        <v>69</v>
      </c>
      <c r="K16" s="48"/>
      <c r="L16" s="48"/>
      <c r="M16" s="49"/>
      <c r="N16" s="50">
        <v>103.05</v>
      </c>
      <c r="O16" s="50"/>
      <c r="P16" s="48"/>
      <c r="Q16" s="53"/>
      <c r="R16" s="53">
        <f>N16</f>
        <v>103.05</v>
      </c>
      <c r="S16" s="54" t="s">
        <v>7</v>
      </c>
      <c r="T16" s="141" t="s">
        <v>93</v>
      </c>
      <c r="U16" s="167" t="s">
        <v>226</v>
      </c>
      <c r="V16" s="26"/>
      <c r="W16" s="26"/>
      <c r="X16" s="26"/>
      <c r="Y16" s="26"/>
      <c r="Z16" s="27"/>
      <c r="AA16" s="41"/>
      <c r="AB16" s="114"/>
    </row>
    <row r="17" spans="1:28" s="28" customFormat="1" ht="20.100000000000001" customHeight="1">
      <c r="A17" s="129"/>
      <c r="B17" s="139"/>
      <c r="C17" s="76"/>
      <c r="D17" s="156"/>
      <c r="E17" s="86"/>
      <c r="F17" s="155"/>
      <c r="G17" s="156"/>
      <c r="H17" s="86"/>
      <c r="I17" s="155"/>
      <c r="J17" s="77"/>
      <c r="K17" s="193"/>
      <c r="L17" s="134"/>
      <c r="M17" s="136"/>
      <c r="N17" s="135"/>
      <c r="O17" s="135"/>
      <c r="P17" s="134"/>
      <c r="Q17" s="133"/>
      <c r="R17" s="133"/>
      <c r="S17" s="132"/>
      <c r="T17" s="140"/>
      <c r="U17" s="130"/>
      <c r="V17" s="26"/>
      <c r="W17" s="26"/>
      <c r="X17" s="26"/>
      <c r="Y17" s="26"/>
      <c r="Z17" s="27"/>
      <c r="AA17" s="41"/>
      <c r="AB17" s="114"/>
    </row>
    <row r="18" spans="1:28" s="28" customFormat="1" ht="20.100000000000001" customHeight="1">
      <c r="A18" s="129"/>
      <c r="B18" s="139"/>
      <c r="C18" s="76"/>
      <c r="D18" s="156"/>
      <c r="E18" s="86"/>
      <c r="F18" s="155"/>
      <c r="G18" s="156"/>
      <c r="H18" s="86"/>
      <c r="I18" s="155"/>
      <c r="J18" s="77"/>
      <c r="K18" s="137"/>
      <c r="L18" s="134"/>
      <c r="M18" s="136"/>
      <c r="N18" s="135"/>
      <c r="O18" s="135"/>
      <c r="P18" s="134"/>
      <c r="Q18" s="133"/>
      <c r="R18" s="133"/>
      <c r="S18" s="132"/>
      <c r="T18" s="140"/>
      <c r="U18" s="130"/>
      <c r="V18" s="26"/>
      <c r="W18" s="26"/>
      <c r="X18" s="26"/>
      <c r="Y18" s="26"/>
      <c r="Z18" s="27"/>
      <c r="AA18" s="41"/>
      <c r="AB18" s="114"/>
    </row>
    <row r="19" spans="1:28" s="28" customFormat="1" ht="20.100000000000001" customHeight="1">
      <c r="A19" s="129"/>
      <c r="B19" s="139"/>
      <c r="C19" s="79"/>
      <c r="D19" s="156"/>
      <c r="E19" s="86"/>
      <c r="F19" s="155"/>
      <c r="G19" s="156"/>
      <c r="H19" s="86"/>
      <c r="I19" s="155"/>
      <c r="J19" s="138"/>
      <c r="K19" s="137"/>
      <c r="L19" s="134"/>
      <c r="M19" s="136"/>
      <c r="N19" s="135"/>
      <c r="O19" s="135"/>
      <c r="P19" s="134"/>
      <c r="Q19" s="133"/>
      <c r="R19" s="133"/>
      <c r="S19" s="132"/>
      <c r="T19" s="140"/>
      <c r="U19" s="130"/>
      <c r="V19" s="26"/>
      <c r="W19" s="26"/>
      <c r="X19" s="26"/>
      <c r="Y19" s="26"/>
      <c r="Z19" s="27"/>
      <c r="AA19" s="41"/>
      <c r="AB19" s="114"/>
    </row>
    <row r="20" spans="1:28" s="28" customFormat="1" ht="20.100000000000001" customHeight="1">
      <c r="A20" s="129"/>
      <c r="B20" s="139"/>
      <c r="C20" s="79"/>
      <c r="D20" s="156"/>
      <c r="E20" s="86"/>
      <c r="F20" s="155"/>
      <c r="G20" s="156"/>
      <c r="H20" s="86"/>
      <c r="I20" s="155"/>
      <c r="J20" s="138"/>
      <c r="K20" s="137"/>
      <c r="L20" s="134"/>
      <c r="M20" s="136"/>
      <c r="N20" s="135"/>
      <c r="O20" s="135"/>
      <c r="P20" s="134"/>
      <c r="Q20" s="133"/>
      <c r="R20" s="133"/>
      <c r="S20" s="132"/>
      <c r="T20" s="140"/>
      <c r="U20" s="130"/>
      <c r="V20" s="26"/>
      <c r="W20" s="26"/>
      <c r="X20" s="26"/>
      <c r="Y20" s="26"/>
      <c r="Z20" s="27"/>
      <c r="AA20" s="41"/>
      <c r="AB20" s="114"/>
    </row>
    <row r="21" spans="1:28" s="28" customFormat="1" ht="20.100000000000001" customHeight="1">
      <c r="A21" s="129"/>
      <c r="B21" s="139"/>
      <c r="C21" s="79"/>
      <c r="D21" s="156"/>
      <c r="E21" s="86"/>
      <c r="F21" s="155"/>
      <c r="G21" s="156"/>
      <c r="H21" s="86"/>
      <c r="I21" s="155"/>
      <c r="J21" s="138"/>
      <c r="K21" s="137"/>
      <c r="L21" s="134"/>
      <c r="M21" s="136"/>
      <c r="N21" s="135"/>
      <c r="O21" s="135"/>
      <c r="P21" s="134"/>
      <c r="Q21" s="133"/>
      <c r="R21" s="133"/>
      <c r="S21" s="132"/>
      <c r="T21" s="140"/>
      <c r="U21" s="130"/>
      <c r="V21" s="26"/>
      <c r="W21" s="26"/>
      <c r="X21" s="26"/>
      <c r="Y21" s="26"/>
      <c r="Z21" s="27"/>
      <c r="AA21" s="41"/>
      <c r="AB21" s="114"/>
    </row>
    <row r="22" spans="1:28" s="28" customFormat="1" ht="20.100000000000001" customHeight="1">
      <c r="A22" s="129"/>
      <c r="B22" s="139"/>
      <c r="C22" s="79"/>
      <c r="D22" s="156"/>
      <c r="E22" s="86"/>
      <c r="F22" s="155"/>
      <c r="G22" s="156"/>
      <c r="H22" s="86"/>
      <c r="I22" s="155"/>
      <c r="J22" s="138"/>
      <c r="K22" s="137"/>
      <c r="L22" s="134"/>
      <c r="M22" s="136"/>
      <c r="N22" s="135"/>
      <c r="O22" s="135"/>
      <c r="P22" s="134"/>
      <c r="Q22" s="133"/>
      <c r="R22" s="133"/>
      <c r="S22" s="132"/>
      <c r="T22" s="140"/>
      <c r="U22" s="130"/>
      <c r="V22" s="26"/>
      <c r="W22" s="26"/>
      <c r="X22" s="26"/>
      <c r="Y22" s="26"/>
      <c r="Z22" s="27"/>
      <c r="AA22" s="41"/>
      <c r="AB22" s="114"/>
    </row>
    <row r="23" spans="1:28" s="28" customFormat="1" ht="20.100000000000001" customHeight="1">
      <c r="A23" s="129"/>
      <c r="B23" s="139"/>
      <c r="C23" s="79"/>
      <c r="D23" s="156"/>
      <c r="E23" s="86"/>
      <c r="F23" s="155"/>
      <c r="G23" s="156"/>
      <c r="H23" s="86"/>
      <c r="I23" s="155"/>
      <c r="J23" s="138"/>
      <c r="K23" s="137"/>
      <c r="L23" s="134"/>
      <c r="M23" s="136"/>
      <c r="N23" s="135"/>
      <c r="O23" s="135"/>
      <c r="P23" s="134"/>
      <c r="Q23" s="133"/>
      <c r="R23" s="133"/>
      <c r="S23" s="132"/>
      <c r="T23" s="140"/>
      <c r="U23" s="130"/>
      <c r="V23" s="26"/>
      <c r="W23" s="26"/>
      <c r="X23" s="26"/>
      <c r="Y23" s="26"/>
      <c r="Z23" s="27"/>
      <c r="AA23" s="41"/>
      <c r="AB23" s="114"/>
    </row>
    <row r="24" spans="1:28" s="28" customFormat="1" ht="20.100000000000001" customHeight="1">
      <c r="A24" s="129"/>
      <c r="B24" s="139"/>
      <c r="C24" s="79"/>
      <c r="D24" s="156"/>
      <c r="E24" s="86"/>
      <c r="F24" s="155"/>
      <c r="G24" s="156"/>
      <c r="H24" s="86"/>
      <c r="I24" s="155"/>
      <c r="J24" s="138"/>
      <c r="K24" s="137"/>
      <c r="L24" s="134"/>
      <c r="M24" s="136"/>
      <c r="N24" s="135"/>
      <c r="O24" s="135"/>
      <c r="P24" s="134"/>
      <c r="Q24" s="133"/>
      <c r="R24" s="133"/>
      <c r="S24" s="132"/>
      <c r="T24" s="140"/>
      <c r="U24" s="130"/>
      <c r="V24" s="26"/>
      <c r="W24" s="26"/>
      <c r="X24" s="26"/>
      <c r="Y24" s="26"/>
      <c r="Z24" s="27"/>
      <c r="AA24" s="41"/>
      <c r="AB24" s="114"/>
    </row>
    <row r="25" spans="1:28" s="28" customFormat="1" ht="20.100000000000001" customHeight="1">
      <c r="A25" s="129"/>
      <c r="B25" s="139"/>
      <c r="C25" s="79"/>
      <c r="D25" s="85"/>
      <c r="E25" s="86"/>
      <c r="F25" s="87"/>
      <c r="G25" s="85"/>
      <c r="H25" s="86"/>
      <c r="I25" s="87"/>
      <c r="J25" s="138"/>
      <c r="K25" s="137"/>
      <c r="L25" s="134"/>
      <c r="M25" s="136"/>
      <c r="N25" s="135"/>
      <c r="O25" s="135"/>
      <c r="P25" s="134"/>
      <c r="Q25" s="133"/>
      <c r="R25" s="133"/>
      <c r="S25" s="154"/>
      <c r="T25" s="153"/>
      <c r="U25" s="130"/>
      <c r="V25" s="26"/>
      <c r="W25" s="26"/>
      <c r="X25" s="26"/>
      <c r="Y25" s="26"/>
      <c r="Z25" s="27"/>
      <c r="AA25" s="41"/>
      <c r="AB25" s="114"/>
    </row>
    <row r="26" spans="1:28" s="28" customFormat="1" ht="20.100000000000001" customHeight="1">
      <c r="A26" s="129"/>
      <c r="B26" s="139"/>
      <c r="C26" s="79"/>
      <c r="D26" s="85"/>
      <c r="E26" s="86"/>
      <c r="F26" s="87"/>
      <c r="G26" s="85"/>
      <c r="H26" s="86"/>
      <c r="I26" s="87"/>
      <c r="J26" s="138"/>
      <c r="K26" s="137"/>
      <c r="L26" s="134"/>
      <c r="M26" s="136"/>
      <c r="N26" s="135"/>
      <c r="O26" s="135"/>
      <c r="P26" s="134"/>
      <c r="Q26" s="133"/>
      <c r="R26" s="133"/>
      <c r="S26" s="132"/>
      <c r="T26" s="131"/>
      <c r="U26" s="130"/>
      <c r="V26" s="26"/>
      <c r="W26" s="26"/>
      <c r="X26" s="26"/>
      <c r="Y26" s="26"/>
      <c r="Z26" s="27"/>
      <c r="AA26" s="41"/>
      <c r="AB26" s="114"/>
    </row>
    <row r="27" spans="1:28" s="28" customFormat="1" ht="20.100000000000001" customHeight="1">
      <c r="A27" s="129"/>
      <c r="B27" s="139"/>
      <c r="C27" s="79"/>
      <c r="D27" s="85"/>
      <c r="E27" s="86"/>
      <c r="F27" s="87"/>
      <c r="G27" s="85"/>
      <c r="H27" s="86"/>
      <c r="I27" s="87"/>
      <c r="J27" s="138"/>
      <c r="K27" s="137"/>
      <c r="L27" s="134"/>
      <c r="M27" s="136"/>
      <c r="N27" s="135"/>
      <c r="O27" s="135"/>
      <c r="P27" s="134"/>
      <c r="Q27" s="133"/>
      <c r="R27" s="133"/>
      <c r="S27" s="132"/>
      <c r="T27" s="131"/>
      <c r="U27" s="130"/>
      <c r="V27" s="26"/>
      <c r="W27" s="26"/>
      <c r="X27" s="26"/>
      <c r="Y27" s="26"/>
      <c r="Z27" s="27"/>
      <c r="AA27" s="41"/>
      <c r="AB27" s="114"/>
    </row>
    <row r="28" spans="1:28" s="28" customFormat="1" ht="20.100000000000001" customHeight="1">
      <c r="A28" s="129"/>
      <c r="B28" s="139"/>
      <c r="C28" s="79"/>
      <c r="D28" s="85"/>
      <c r="E28" s="86"/>
      <c r="F28" s="87"/>
      <c r="G28" s="85"/>
      <c r="H28" s="86"/>
      <c r="I28" s="87"/>
      <c r="J28" s="138"/>
      <c r="K28" s="137"/>
      <c r="L28" s="134"/>
      <c r="M28" s="136"/>
      <c r="N28" s="135"/>
      <c r="O28" s="135"/>
      <c r="P28" s="134"/>
      <c r="Q28" s="133"/>
      <c r="R28" s="133"/>
      <c r="S28" s="132"/>
      <c r="T28" s="131"/>
      <c r="U28" s="130"/>
      <c r="V28" s="26"/>
      <c r="W28" s="26"/>
      <c r="X28" s="26"/>
      <c r="Y28" s="26"/>
      <c r="Z28" s="27"/>
      <c r="AA28" s="41"/>
      <c r="AB28" s="114"/>
    </row>
    <row r="29" spans="1:28" s="28" customFormat="1" ht="20.100000000000001" customHeight="1">
      <c r="A29" s="129"/>
      <c r="B29" s="139"/>
      <c r="C29" s="79"/>
      <c r="D29" s="85"/>
      <c r="E29" s="86"/>
      <c r="F29" s="87"/>
      <c r="G29" s="85"/>
      <c r="H29" s="86"/>
      <c r="I29" s="87"/>
      <c r="J29" s="138"/>
      <c r="K29" s="137"/>
      <c r="L29" s="134"/>
      <c r="M29" s="136"/>
      <c r="N29" s="135"/>
      <c r="O29" s="135"/>
      <c r="P29" s="134"/>
      <c r="Q29" s="133"/>
      <c r="R29" s="133"/>
      <c r="S29" s="132"/>
      <c r="T29" s="131"/>
      <c r="U29" s="130"/>
      <c r="V29" s="26"/>
      <c r="W29" s="26"/>
      <c r="X29" s="26"/>
      <c r="Y29" s="26"/>
      <c r="Z29" s="27"/>
      <c r="AA29" s="41"/>
      <c r="AB29" s="114"/>
    </row>
    <row r="30" spans="1:28" s="28" customFormat="1" ht="20.100000000000001" customHeight="1">
      <c r="A30" s="129"/>
      <c r="B30" s="139"/>
      <c r="C30" s="79"/>
      <c r="D30" s="85"/>
      <c r="E30" s="86"/>
      <c r="F30" s="87"/>
      <c r="G30" s="85"/>
      <c r="H30" s="86"/>
      <c r="I30" s="87"/>
      <c r="J30" s="138"/>
      <c r="K30" s="137"/>
      <c r="L30" s="134"/>
      <c r="M30" s="136"/>
      <c r="N30" s="135"/>
      <c r="O30" s="135"/>
      <c r="P30" s="134"/>
      <c r="Q30" s="133"/>
      <c r="R30" s="133"/>
      <c r="S30" s="132"/>
      <c r="T30" s="131"/>
      <c r="U30" s="130"/>
      <c r="V30" s="26"/>
      <c r="W30" s="26"/>
      <c r="X30" s="26"/>
      <c r="Y30" s="26"/>
      <c r="Z30" s="27"/>
      <c r="AA30" s="41"/>
      <c r="AB30" s="114"/>
    </row>
    <row r="31" spans="1:28" s="28" customFormat="1" ht="20.100000000000001" customHeight="1">
      <c r="A31" s="129"/>
      <c r="B31" s="139"/>
      <c r="C31" s="79"/>
      <c r="D31" s="85"/>
      <c r="E31" s="86"/>
      <c r="F31" s="87"/>
      <c r="G31" s="85"/>
      <c r="H31" s="86"/>
      <c r="I31" s="87"/>
      <c r="J31" s="138"/>
      <c r="K31" s="137"/>
      <c r="L31" s="134"/>
      <c r="M31" s="136"/>
      <c r="N31" s="135"/>
      <c r="O31" s="135"/>
      <c r="P31" s="134"/>
      <c r="Q31" s="133"/>
      <c r="R31" s="133"/>
      <c r="S31" s="132"/>
      <c r="T31" s="131"/>
      <c r="U31" s="130"/>
      <c r="V31" s="26"/>
      <c r="W31" s="26"/>
      <c r="X31" s="26"/>
      <c r="Y31" s="26"/>
      <c r="Z31" s="27"/>
      <c r="AA31" s="41"/>
      <c r="AB31" s="114"/>
    </row>
    <row r="32" spans="1:28" s="28" customFormat="1" ht="20.100000000000001" customHeight="1">
      <c r="A32" s="129"/>
      <c r="B32" s="139"/>
      <c r="C32" s="79"/>
      <c r="D32" s="85"/>
      <c r="E32" s="86"/>
      <c r="F32" s="87"/>
      <c r="G32" s="85"/>
      <c r="H32" s="86"/>
      <c r="I32" s="87"/>
      <c r="J32" s="138"/>
      <c r="K32" s="137"/>
      <c r="L32" s="134"/>
      <c r="M32" s="136"/>
      <c r="N32" s="135"/>
      <c r="O32" s="135"/>
      <c r="P32" s="134"/>
      <c r="Q32" s="133"/>
      <c r="R32" s="133"/>
      <c r="S32" s="132"/>
      <c r="T32" s="131"/>
      <c r="U32" s="130"/>
      <c r="V32" s="26"/>
      <c r="W32" s="26"/>
      <c r="X32" s="26"/>
      <c r="Y32" s="26"/>
      <c r="Z32" s="27"/>
      <c r="AA32" s="41"/>
      <c r="AB32" s="114"/>
    </row>
    <row r="33" spans="1:28" s="28" customFormat="1" ht="20.100000000000001" customHeight="1">
      <c r="A33" s="129"/>
      <c r="B33" s="139"/>
      <c r="C33" s="79"/>
      <c r="D33" s="85"/>
      <c r="E33" s="86"/>
      <c r="F33" s="87"/>
      <c r="G33" s="85"/>
      <c r="H33" s="86"/>
      <c r="I33" s="87"/>
      <c r="J33" s="138"/>
      <c r="K33" s="137"/>
      <c r="L33" s="134"/>
      <c r="M33" s="136"/>
      <c r="N33" s="135"/>
      <c r="O33" s="135"/>
      <c r="P33" s="134"/>
      <c r="Q33" s="133"/>
      <c r="R33" s="133"/>
      <c r="S33" s="132"/>
      <c r="T33" s="131"/>
      <c r="U33" s="130"/>
      <c r="V33" s="26"/>
      <c r="W33" s="26"/>
      <c r="X33" s="26"/>
      <c r="Y33" s="26"/>
      <c r="Z33" s="27"/>
      <c r="AA33" s="41"/>
      <c r="AB33" s="114"/>
    </row>
    <row r="34" spans="1:28" s="28" customFormat="1" ht="20.100000000000001" customHeight="1">
      <c r="A34" s="129"/>
      <c r="B34" s="139"/>
      <c r="C34" s="79"/>
      <c r="D34" s="85"/>
      <c r="E34" s="86"/>
      <c r="F34" s="87"/>
      <c r="G34" s="85"/>
      <c r="H34" s="86"/>
      <c r="I34" s="87"/>
      <c r="J34" s="138"/>
      <c r="K34" s="137"/>
      <c r="L34" s="134"/>
      <c r="M34" s="136"/>
      <c r="N34" s="135"/>
      <c r="O34" s="135"/>
      <c r="P34" s="134"/>
      <c r="Q34" s="133"/>
      <c r="R34" s="133"/>
      <c r="S34" s="132"/>
      <c r="T34" s="131"/>
      <c r="U34" s="130"/>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133"/>
      <c r="R35" s="133"/>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133"/>
      <c r="R36" s="133"/>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133"/>
      <c r="R37" s="133"/>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28" customFormat="1" ht="20.100000000000001" customHeight="1">
      <c r="A48" s="129"/>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114"/>
    </row>
    <row r="49" spans="1:28" s="28" customFormat="1" ht="20.100000000000001" customHeight="1">
      <c r="A49" s="129"/>
      <c r="B49" s="128"/>
      <c r="C49" s="127"/>
      <c r="D49" s="126"/>
      <c r="E49" s="125"/>
      <c r="F49" s="124"/>
      <c r="G49" s="126"/>
      <c r="H49" s="125"/>
      <c r="I49" s="124"/>
      <c r="J49" s="123"/>
      <c r="K49" s="122"/>
      <c r="L49" s="119"/>
      <c r="M49" s="121"/>
      <c r="N49" s="120"/>
      <c r="O49" s="120"/>
      <c r="P49" s="119"/>
      <c r="Q49" s="118"/>
      <c r="R49" s="118"/>
      <c r="S49" s="117"/>
      <c r="T49" s="116"/>
      <c r="U49" s="115"/>
      <c r="V49" s="26"/>
      <c r="W49" s="26"/>
      <c r="X49" s="26"/>
      <c r="Y49" s="26"/>
      <c r="Z49" s="27"/>
      <c r="AA49" s="41"/>
      <c r="AB49" s="114"/>
    </row>
    <row r="50" spans="1:28" ht="20.100000000000001" customHeight="1">
      <c r="B50" s="109"/>
      <c r="C50" s="113"/>
      <c r="D50" s="2670" t="s">
        <v>18</v>
      </c>
      <c r="E50" s="2671"/>
      <c r="F50" s="2671"/>
      <c r="G50" s="2671"/>
      <c r="H50" s="2671"/>
      <c r="I50" s="2672"/>
      <c r="J50" s="2694" t="e">
        <f>VLOOKUP(A52,#REF!,6,FALSE)</f>
        <v>#REF!</v>
      </c>
      <c r="K50" s="2695"/>
      <c r="L50" s="112" t="e">
        <f>VLOOKUP(A52,#REF!,4,FALSE)</f>
        <v>#REF!</v>
      </c>
      <c r="M50" s="2696" t="s">
        <v>19</v>
      </c>
      <c r="N50" s="2697"/>
      <c r="O50" s="2697"/>
      <c r="P50" s="2697"/>
      <c r="Q50" s="2698"/>
      <c r="R50" s="111">
        <f>SUM(R14:R49)</f>
        <v>1124.26</v>
      </c>
      <c r="S50" s="110" t="e">
        <f>L50</f>
        <v>#REF!</v>
      </c>
      <c r="T50" s="106"/>
      <c r="U50" s="105"/>
    </row>
    <row r="51" spans="1:28" ht="20.100000000000001" customHeight="1">
      <c r="B51" s="109"/>
      <c r="C51" s="72"/>
      <c r="D51" s="2678" t="s">
        <v>20</v>
      </c>
      <c r="E51" s="2728"/>
      <c r="F51" s="2728"/>
      <c r="G51" s="2728"/>
      <c r="H51" s="2728"/>
      <c r="I51" s="2729"/>
      <c r="J51" s="2699" t="e">
        <f>R50/J50</f>
        <v>#REF!</v>
      </c>
      <c r="K51" s="2730"/>
      <c r="L51" s="2703"/>
      <c r="M51" s="2705" t="s">
        <v>21</v>
      </c>
      <c r="N51" s="2706"/>
      <c r="O51" s="2706"/>
      <c r="P51" s="2706"/>
      <c r="Q51" s="2707"/>
      <c r="R51" s="108">
        <f>SUM(R14:R16)</f>
        <v>1124.26</v>
      </c>
      <c r="S51" s="107" t="e">
        <f>L50</f>
        <v>#REF!</v>
      </c>
      <c r="T51" s="106"/>
      <c r="U51" s="105"/>
    </row>
    <row r="52" spans="1:28" ht="20.100000000000001" customHeight="1">
      <c r="A52" s="12" t="s">
        <v>171</v>
      </c>
      <c r="B52" s="213"/>
      <c r="C52" s="73"/>
      <c r="D52" s="2670"/>
      <c r="E52" s="2671"/>
      <c r="F52" s="2671"/>
      <c r="G52" s="2671"/>
      <c r="H52" s="2671"/>
      <c r="I52" s="2672"/>
      <c r="J52" s="2701"/>
      <c r="K52" s="2702"/>
      <c r="L52" s="2704"/>
      <c r="M52" s="2705" t="s">
        <v>22</v>
      </c>
      <c r="N52" s="2706"/>
      <c r="O52" s="2706"/>
      <c r="P52" s="2706"/>
      <c r="Q52" s="2707"/>
      <c r="R52" s="103">
        <f>R50-R51</f>
        <v>0</v>
      </c>
      <c r="S52" s="102" t="e">
        <f>L50</f>
        <v>#REF!</v>
      </c>
      <c r="T52" s="101"/>
      <c r="U52" s="100"/>
    </row>
  </sheetData>
  <mergeCells count="33">
    <mergeCell ref="C11:L11"/>
    <mergeCell ref="K12:K13"/>
    <mergeCell ref="B1:U5"/>
    <mergeCell ref="V5:AA5"/>
    <mergeCell ref="D51:I52"/>
    <mergeCell ref="J51:K52"/>
    <mergeCell ref="L51:L52"/>
    <mergeCell ref="M51:Q51"/>
    <mergeCell ref="M52:Q52"/>
    <mergeCell ref="D50:I50"/>
    <mergeCell ref="J50:K50"/>
    <mergeCell ref="M50:Q50"/>
    <mergeCell ref="N12:N13"/>
    <mergeCell ref="O12:O13"/>
    <mergeCell ref="Q12:Q13"/>
    <mergeCell ref="P12:P13"/>
    <mergeCell ref="M12:M13"/>
    <mergeCell ref="U12:U13"/>
    <mergeCell ref="D13:F13"/>
    <mergeCell ref="G13:I13"/>
    <mergeCell ref="R12:R13"/>
    <mergeCell ref="S12:S13"/>
    <mergeCell ref="T12:T13"/>
    <mergeCell ref="B12:B13"/>
    <mergeCell ref="C12:C13"/>
    <mergeCell ref="D12:I12"/>
    <mergeCell ref="J12:J13"/>
    <mergeCell ref="L12:L13"/>
    <mergeCell ref="K6:U6"/>
    <mergeCell ref="T8:U8"/>
    <mergeCell ref="T9:U9"/>
    <mergeCell ref="T10:U10"/>
    <mergeCell ref="B6:I6"/>
  </mergeCells>
  <conditionalFormatting sqref="J51:K52">
    <cfRule type="cellIs" dxfId="31" priority="1" operator="greaterThanOrEqual">
      <formula>1</formula>
    </cfRule>
    <cfRule type="cellIs" dxfId="30" priority="2" operator="greaterThan">
      <formula>100%</formula>
    </cfRule>
  </conditionalFormatting>
  <printOptions horizontalCentered="1"/>
  <pageMargins left="0.39370078740157483" right="0.39370078740157483" top="0.78740157480314965" bottom="0.78740157480314965" header="0" footer="0.19685039370078741"/>
  <pageSetup paperSize="9" scale="44" fitToHeight="2"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336600"/>
    <pageSetUpPr fitToPage="1"/>
  </sheetPr>
  <dimension ref="A1:AJ52"/>
  <sheetViews>
    <sheetView view="pageBreakPreview" topLeftCell="A10" zoomScale="60" zoomScaleNormal="100" workbookViewId="0">
      <selection activeCell="AA50" sqref="AA50"/>
    </sheetView>
  </sheetViews>
  <sheetFormatPr defaultRowHeight="12.75"/>
  <cols>
    <col min="1" max="1" width="9.140625" style="12"/>
    <col min="2" max="2" width="14.2851562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5" width="13.5703125" style="8" customWidth="1"/>
    <col min="16" max="16" width="14.5703125" style="8" customWidth="1"/>
    <col min="17" max="17" width="13.5703125" style="8" customWidth="1"/>
    <col min="18" max="18" width="16.85546875" style="8" bestFit="1" customWidth="1"/>
    <col min="19" max="19" width="9" style="8" customWidth="1"/>
    <col min="20" max="20" width="12.5703125" style="8" customWidth="1"/>
    <col min="21" max="21" width="39.5703125" style="8" customWidth="1"/>
    <col min="22" max="27" width="9.140625" style="8"/>
    <col min="28" max="28" width="12.7109375" style="15" customWidth="1"/>
    <col min="29" max="16384" width="9.140625" style="8"/>
  </cols>
  <sheetData>
    <row r="1" spans="1:36" ht="18.75" customHeight="1">
      <c r="B1" s="2652" t="s">
        <v>115</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708" t="s">
        <v>9</v>
      </c>
      <c r="C6" s="2709"/>
      <c r="D6" s="2709"/>
      <c r="E6" s="2709"/>
      <c r="F6" s="2709"/>
      <c r="G6" s="2709"/>
      <c r="H6" s="2709"/>
      <c r="I6" s="2709"/>
      <c r="J6" s="2709"/>
      <c r="K6" s="2710" t="s">
        <v>10</v>
      </c>
      <c r="L6" s="2711"/>
      <c r="M6" s="2711"/>
      <c r="N6" s="2711"/>
      <c r="O6" s="2711"/>
      <c r="P6" s="2711"/>
      <c r="Q6" s="2711"/>
      <c r="R6" s="2711"/>
      <c r="S6" s="2711"/>
      <c r="T6" s="2711"/>
      <c r="U6" s="2712"/>
      <c r="V6" s="99"/>
      <c r="W6" s="99"/>
      <c r="X6" s="99"/>
      <c r="Y6" s="99"/>
      <c r="Z6" s="99"/>
      <c r="AA6" s="99"/>
      <c r="AB6" s="17"/>
    </row>
    <row r="7" spans="1:36" s="20" customFormat="1" ht="15.75">
      <c r="A7" s="19"/>
      <c r="B7" s="152" t="s">
        <v>96</v>
      </c>
      <c r="C7" s="149" t="e">
        <f>#REF!</f>
        <v>#REF!</v>
      </c>
      <c r="D7" s="145"/>
      <c r="E7" s="92"/>
      <c r="F7" s="92"/>
      <c r="G7" s="145"/>
      <c r="H7" s="92"/>
      <c r="I7" s="92"/>
      <c r="J7" s="200"/>
      <c r="K7" s="151" t="s">
        <v>190</v>
      </c>
      <c r="L7" s="94"/>
      <c r="M7" s="93"/>
      <c r="N7" s="93"/>
      <c r="O7" s="150"/>
      <c r="P7" s="93"/>
      <c r="Q7" s="93"/>
      <c r="R7" s="93"/>
      <c r="S7" s="94"/>
      <c r="T7" s="94"/>
      <c r="U7" s="95"/>
      <c r="AB7" s="21"/>
    </row>
    <row r="8" spans="1:36" s="20" customFormat="1" ht="15.75">
      <c r="A8" s="19"/>
      <c r="B8" s="148" t="s">
        <v>79</v>
      </c>
      <c r="C8" s="149" t="e">
        <f>#REF!</f>
        <v>#REF!</v>
      </c>
      <c r="D8" s="145"/>
      <c r="E8" s="92"/>
      <c r="F8" s="92"/>
      <c r="G8" s="145"/>
      <c r="H8" s="92"/>
      <c r="I8" s="92"/>
      <c r="J8" s="144"/>
      <c r="K8" s="146" t="s">
        <v>191</v>
      </c>
      <c r="L8" s="145"/>
      <c r="M8" s="145"/>
      <c r="N8" s="96"/>
      <c r="O8" s="96"/>
      <c r="P8" s="96"/>
      <c r="Q8" s="96"/>
      <c r="R8" s="96"/>
      <c r="S8" s="145"/>
      <c r="T8" s="2647"/>
      <c r="U8" s="2648"/>
      <c r="AB8" s="21"/>
    </row>
    <row r="9" spans="1:36" s="20" customFormat="1" ht="15.75">
      <c r="A9" s="19"/>
      <c r="B9" s="148" t="s">
        <v>11</v>
      </c>
      <c r="C9" s="147" t="e">
        <f>VLOOKUP(B9,[0]!_xlnm.Print_Area,2,FALSE)</f>
        <v>#REF!</v>
      </c>
      <c r="D9" s="145"/>
      <c r="E9" s="92"/>
      <c r="F9" s="92"/>
      <c r="G9" s="145"/>
      <c r="H9" s="92"/>
      <c r="I9" s="92"/>
      <c r="J9" s="144"/>
      <c r="K9" s="146" t="s">
        <v>192</v>
      </c>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147" t="e">
        <f>VLOOKUP(B10,[0]!_xlnm.Print_Area,2,FALSE)</f>
        <v>#REF!</v>
      </c>
      <c r="D10" s="145"/>
      <c r="E10" s="92"/>
      <c r="F10" s="92"/>
      <c r="G10" s="145"/>
      <c r="H10" s="92"/>
      <c r="I10" s="92"/>
      <c r="J10" s="201"/>
      <c r="K10" s="146" t="s">
        <v>193</v>
      </c>
      <c r="L10" s="92"/>
      <c r="M10" s="92"/>
      <c r="N10" s="92"/>
      <c r="O10" s="92"/>
      <c r="P10" s="202"/>
      <c r="Q10" s="92"/>
      <c r="R10" s="92"/>
      <c r="S10" s="92"/>
      <c r="T10" s="2660"/>
      <c r="U10" s="2661"/>
      <c r="AA10" s="22"/>
      <c r="AB10" s="22"/>
      <c r="AC10" s="22"/>
      <c r="AD10" s="22"/>
      <c r="AE10" s="22"/>
      <c r="AF10" s="22"/>
      <c r="AG10" s="22"/>
      <c r="AH10" s="22"/>
      <c r="AI10" s="22"/>
      <c r="AJ10" s="22"/>
    </row>
    <row r="11" spans="1:36" s="29" customFormat="1" ht="21" customHeight="1">
      <c r="A11" s="23"/>
      <c r="B11" s="143" t="str">
        <f>LEFT(A52,1)</f>
        <v>7</v>
      </c>
      <c r="C11" s="2713" t="e">
        <f>VLOOKUP(B11,#REF!,3,FALSE)</f>
        <v>#REF!</v>
      </c>
      <c r="D11" s="2714"/>
      <c r="E11" s="2714"/>
      <c r="F11" s="2714"/>
      <c r="G11" s="2714"/>
      <c r="H11" s="2714"/>
      <c r="I11" s="2714"/>
      <c r="J11" s="2714"/>
      <c r="K11" s="2714"/>
      <c r="L11" s="2714"/>
      <c r="M11" s="24"/>
      <c r="N11" s="24"/>
      <c r="O11" s="24"/>
      <c r="P11" s="24"/>
      <c r="Q11" s="24"/>
      <c r="R11" s="24"/>
      <c r="S11" s="24"/>
      <c r="T11" s="24"/>
      <c r="U11" s="25"/>
      <c r="V11" s="26"/>
      <c r="W11" s="26"/>
      <c r="X11" s="26"/>
      <c r="Y11" s="26"/>
      <c r="Z11" s="27"/>
      <c r="AA11" s="28"/>
      <c r="AB11" s="28"/>
      <c r="AC11" s="28"/>
      <c r="AD11" s="28"/>
      <c r="AE11" s="28"/>
      <c r="AF11" s="28"/>
      <c r="AG11" s="28"/>
      <c r="AH11" s="28"/>
      <c r="AI11" s="28"/>
      <c r="AJ11" s="28"/>
    </row>
    <row r="12" spans="1:36" s="29" customFormat="1" ht="25.5" customHeight="1">
      <c r="A12" s="23"/>
      <c r="B12" s="2664" t="e">
        <f>VLOOKUP(A52,#REF!,2,FALSE)</f>
        <v>#REF!</v>
      </c>
      <c r="C12" s="2665" t="e">
        <f>VLOOKUP(A52,#REF!,3,FALSE)</f>
        <v>#REF!</v>
      </c>
      <c r="D12" s="2666" t="s">
        <v>97</v>
      </c>
      <c r="E12" s="2666"/>
      <c r="F12" s="2666"/>
      <c r="G12" s="2666"/>
      <c r="H12" s="2666"/>
      <c r="I12" s="2666"/>
      <c r="J12" s="2668" t="s">
        <v>98</v>
      </c>
      <c r="K12" s="2668" t="s">
        <v>102</v>
      </c>
      <c r="L12" s="2668" t="s">
        <v>103</v>
      </c>
      <c r="M12" s="2668" t="s">
        <v>113</v>
      </c>
      <c r="N12" s="2668" t="s">
        <v>112</v>
      </c>
      <c r="O12" s="2668" t="s">
        <v>107</v>
      </c>
      <c r="P12" s="2668" t="s">
        <v>111</v>
      </c>
      <c r="Q12" s="2668" t="s">
        <v>16</v>
      </c>
      <c r="R12" s="2668" t="s">
        <v>2</v>
      </c>
      <c r="S12" s="2668" t="s">
        <v>99</v>
      </c>
      <c r="T12" s="2668" t="s">
        <v>17</v>
      </c>
      <c r="U12" s="2667" t="s">
        <v>110</v>
      </c>
      <c r="V12" s="26"/>
      <c r="W12" s="26"/>
      <c r="X12" s="26"/>
      <c r="Y12" s="26"/>
      <c r="Z12" s="27"/>
      <c r="AA12" s="28"/>
      <c r="AB12" s="28"/>
      <c r="AC12" s="28"/>
      <c r="AD12" s="28"/>
      <c r="AE12" s="28"/>
      <c r="AF12" s="28"/>
      <c r="AG12" s="28"/>
      <c r="AH12" s="28"/>
      <c r="AI12" s="28"/>
      <c r="AJ12" s="28"/>
    </row>
    <row r="13" spans="1:36" s="29" customFormat="1" ht="19.5" customHeight="1">
      <c r="A13" s="23"/>
      <c r="B13" s="2664"/>
      <c r="C13" s="2665"/>
      <c r="D13" s="2669" t="s">
        <v>14</v>
      </c>
      <c r="E13" s="2669"/>
      <c r="F13" s="2669"/>
      <c r="G13" s="2667" t="s">
        <v>15</v>
      </c>
      <c r="H13" s="2667"/>
      <c r="I13" s="2667"/>
      <c r="J13" s="2417"/>
      <c r="K13" s="2417"/>
      <c r="L13" s="2417"/>
      <c r="M13" s="2417"/>
      <c r="N13" s="2417"/>
      <c r="O13" s="2417"/>
      <c r="P13" s="2417"/>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39"/>
      <c r="C14" s="58" t="s">
        <v>166</v>
      </c>
      <c r="D14" s="82">
        <v>300</v>
      </c>
      <c r="E14" s="44" t="s">
        <v>68</v>
      </c>
      <c r="F14" s="83">
        <v>0</v>
      </c>
      <c r="G14" s="82">
        <v>302</v>
      </c>
      <c r="H14" s="44" t="s">
        <v>68</v>
      </c>
      <c r="I14" s="83">
        <v>10</v>
      </c>
      <c r="J14" s="46" t="s">
        <v>69</v>
      </c>
      <c r="K14" s="47">
        <v>54.59</v>
      </c>
      <c r="L14" s="48">
        <f t="shared" ref="L14:L25" si="0">N14/K14</f>
        <v>4.1144898333028026</v>
      </c>
      <c r="M14" s="49"/>
      <c r="N14" s="50">
        <v>224.61</v>
      </c>
      <c r="O14" s="50"/>
      <c r="P14" s="48"/>
      <c r="Q14" s="53"/>
      <c r="R14" s="53">
        <f t="shared" ref="R14:R22" si="1">N14</f>
        <v>224.61</v>
      </c>
      <c r="S14" s="54" t="s">
        <v>7</v>
      </c>
      <c r="T14" s="141" t="s">
        <v>90</v>
      </c>
      <c r="U14" s="39" t="s">
        <v>165</v>
      </c>
      <c r="V14" s="26"/>
      <c r="W14" s="26"/>
      <c r="X14" s="26"/>
      <c r="Y14" s="26"/>
      <c r="Z14" s="27"/>
    </row>
    <row r="15" spans="1:36" s="28" customFormat="1" ht="20.100000000000001" customHeight="1">
      <c r="A15" s="129"/>
      <c r="B15" s="139"/>
      <c r="C15" s="58" t="s">
        <v>166</v>
      </c>
      <c r="D15" s="82">
        <v>303</v>
      </c>
      <c r="E15" s="44" t="s">
        <v>68</v>
      </c>
      <c r="F15" s="83">
        <v>0</v>
      </c>
      <c r="G15" s="82">
        <v>305</v>
      </c>
      <c r="H15" s="44" t="s">
        <v>68</v>
      </c>
      <c r="I15" s="83">
        <v>2</v>
      </c>
      <c r="J15" s="46" t="s">
        <v>69</v>
      </c>
      <c r="K15" s="47">
        <v>41.64</v>
      </c>
      <c r="L15" s="48">
        <f t="shared" si="0"/>
        <v>3.3789625360230544</v>
      </c>
      <c r="M15" s="49"/>
      <c r="N15" s="50">
        <v>140.69999999999999</v>
      </c>
      <c r="O15" s="50"/>
      <c r="P15" s="48"/>
      <c r="Q15" s="53"/>
      <c r="R15" s="53">
        <f t="shared" si="1"/>
        <v>140.69999999999999</v>
      </c>
      <c r="S15" s="54" t="s">
        <v>7</v>
      </c>
      <c r="T15" s="141" t="s">
        <v>90</v>
      </c>
      <c r="U15" s="39" t="s">
        <v>165</v>
      </c>
      <c r="V15" s="26"/>
      <c r="W15" s="26"/>
      <c r="X15" s="26"/>
      <c r="Y15" s="26"/>
      <c r="Z15" s="27"/>
      <c r="AA15" s="41"/>
      <c r="AB15" s="114"/>
    </row>
    <row r="16" spans="1:36" s="28" customFormat="1" ht="20.100000000000001" customHeight="1">
      <c r="A16" s="129"/>
      <c r="B16" s="139"/>
      <c r="C16" s="58" t="s">
        <v>166</v>
      </c>
      <c r="D16" s="82">
        <v>101</v>
      </c>
      <c r="E16" s="44" t="s">
        <v>68</v>
      </c>
      <c r="F16" s="83">
        <v>7</v>
      </c>
      <c r="G16" s="82">
        <v>104</v>
      </c>
      <c r="H16" s="44" t="s">
        <v>68</v>
      </c>
      <c r="I16" s="83">
        <v>0</v>
      </c>
      <c r="J16" s="46" t="s">
        <v>69</v>
      </c>
      <c r="K16" s="47">
        <v>46.3</v>
      </c>
      <c r="L16" s="48">
        <f t="shared" si="0"/>
        <v>1.957235421166307</v>
      </c>
      <c r="M16" s="49"/>
      <c r="N16" s="50">
        <v>90.62</v>
      </c>
      <c r="O16" s="50"/>
      <c r="P16" s="48"/>
      <c r="Q16" s="53"/>
      <c r="R16" s="53">
        <f t="shared" si="1"/>
        <v>90.62</v>
      </c>
      <c r="S16" s="54" t="s">
        <v>7</v>
      </c>
      <c r="T16" s="141" t="s">
        <v>90</v>
      </c>
      <c r="U16" s="39" t="s">
        <v>165</v>
      </c>
      <c r="V16" s="26"/>
      <c r="W16" s="26"/>
      <c r="X16" s="26"/>
      <c r="Y16" s="26"/>
      <c r="Z16" s="27"/>
      <c r="AA16" s="41"/>
      <c r="AB16" s="114"/>
    </row>
    <row r="17" spans="1:28" s="28" customFormat="1" ht="20.100000000000001" customHeight="1">
      <c r="A17" s="129"/>
      <c r="B17" s="139"/>
      <c r="C17" s="58" t="s">
        <v>169</v>
      </c>
      <c r="D17" s="82">
        <v>219</v>
      </c>
      <c r="E17" s="44" t="s">
        <v>68</v>
      </c>
      <c r="F17" s="83">
        <v>0</v>
      </c>
      <c r="G17" s="82">
        <v>227</v>
      </c>
      <c r="H17" s="44" t="s">
        <v>68</v>
      </c>
      <c r="I17" s="83">
        <v>16</v>
      </c>
      <c r="J17" s="46" t="s">
        <v>69</v>
      </c>
      <c r="K17" s="47">
        <v>178.97</v>
      </c>
      <c r="L17" s="48">
        <f t="shared" si="0"/>
        <v>2.3468737777281108</v>
      </c>
      <c r="M17" s="49"/>
      <c r="N17" s="50">
        <v>420.02</v>
      </c>
      <c r="O17" s="50"/>
      <c r="P17" s="48"/>
      <c r="Q17" s="53"/>
      <c r="R17" s="53">
        <f t="shared" si="1"/>
        <v>420.02</v>
      </c>
      <c r="S17" s="54" t="s">
        <v>7</v>
      </c>
      <c r="T17" s="141" t="s">
        <v>90</v>
      </c>
      <c r="U17" s="39" t="s">
        <v>165</v>
      </c>
      <c r="V17" s="26"/>
      <c r="W17" s="26"/>
      <c r="X17" s="26"/>
      <c r="Y17" s="26"/>
      <c r="Z17" s="27"/>
      <c r="AA17" s="41"/>
      <c r="AB17" s="114"/>
    </row>
    <row r="18" spans="1:28" s="28" customFormat="1" ht="20.100000000000001" customHeight="1">
      <c r="A18" s="129"/>
      <c r="B18" s="139"/>
      <c r="C18" s="58" t="s">
        <v>166</v>
      </c>
      <c r="D18" s="82">
        <v>219</v>
      </c>
      <c r="E18" s="44" t="s">
        <v>68</v>
      </c>
      <c r="F18" s="83">
        <v>10</v>
      </c>
      <c r="G18" s="82">
        <v>223</v>
      </c>
      <c r="H18" s="44" t="s">
        <v>68</v>
      </c>
      <c r="I18" s="83">
        <v>10</v>
      </c>
      <c r="J18" s="46" t="s">
        <v>105</v>
      </c>
      <c r="K18" s="47">
        <v>159.72</v>
      </c>
      <c r="L18" s="48">
        <f t="shared" si="0"/>
        <v>2.9520410718757826</v>
      </c>
      <c r="M18" s="49"/>
      <c r="N18" s="50">
        <v>471.5</v>
      </c>
      <c r="O18" s="50"/>
      <c r="P18" s="48"/>
      <c r="Q18" s="53"/>
      <c r="R18" s="53">
        <f t="shared" si="1"/>
        <v>471.5</v>
      </c>
      <c r="S18" s="54" t="s">
        <v>7</v>
      </c>
      <c r="T18" s="141" t="s">
        <v>90</v>
      </c>
      <c r="U18" s="39" t="s">
        <v>165</v>
      </c>
      <c r="V18" s="26"/>
      <c r="W18" s="26"/>
      <c r="X18" s="26"/>
      <c r="Y18" s="26"/>
      <c r="Z18" s="27"/>
      <c r="AA18" s="41"/>
      <c r="AB18" s="114"/>
    </row>
    <row r="19" spans="1:28" s="28" customFormat="1" ht="20.100000000000001" customHeight="1">
      <c r="A19" s="129"/>
      <c r="B19" s="139"/>
      <c r="C19" s="58" t="s">
        <v>166</v>
      </c>
      <c r="D19" s="82">
        <v>114</v>
      </c>
      <c r="E19" s="44" t="s">
        <v>68</v>
      </c>
      <c r="F19" s="83">
        <v>0</v>
      </c>
      <c r="G19" s="82">
        <v>114</v>
      </c>
      <c r="H19" s="44" t="s">
        <v>68</v>
      </c>
      <c r="I19" s="83">
        <v>4</v>
      </c>
      <c r="J19" s="46" t="s">
        <v>69</v>
      </c>
      <c r="K19" s="47">
        <v>4.7</v>
      </c>
      <c r="L19" s="48">
        <f t="shared" si="0"/>
        <v>11.65531914893617</v>
      </c>
      <c r="M19" s="49"/>
      <c r="N19" s="50">
        <v>54.78</v>
      </c>
      <c r="O19" s="50"/>
      <c r="P19" s="48"/>
      <c r="Q19" s="53"/>
      <c r="R19" s="53">
        <f t="shared" si="1"/>
        <v>54.78</v>
      </c>
      <c r="S19" s="54" t="s">
        <v>7</v>
      </c>
      <c r="T19" s="141" t="s">
        <v>90</v>
      </c>
      <c r="U19" s="39" t="s">
        <v>167</v>
      </c>
      <c r="V19" s="26"/>
      <c r="W19" s="26"/>
      <c r="X19" s="26"/>
      <c r="Y19" s="26"/>
      <c r="Z19" s="27"/>
      <c r="AA19" s="41"/>
      <c r="AB19" s="114"/>
    </row>
    <row r="20" spans="1:28" s="28" customFormat="1" ht="20.100000000000001" customHeight="1">
      <c r="A20" s="129"/>
      <c r="B20" s="139"/>
      <c r="C20" s="58" t="s">
        <v>166</v>
      </c>
      <c r="D20" s="82">
        <v>114</v>
      </c>
      <c r="E20" s="44" t="s">
        <v>68</v>
      </c>
      <c r="F20" s="83">
        <v>7</v>
      </c>
      <c r="G20" s="82">
        <v>117</v>
      </c>
      <c r="H20" s="44" t="s">
        <v>68</v>
      </c>
      <c r="I20" s="83">
        <v>14</v>
      </c>
      <c r="J20" s="46" t="s">
        <v>69</v>
      </c>
      <c r="K20" s="47">
        <v>70.2</v>
      </c>
      <c r="L20" s="48">
        <f t="shared" si="0"/>
        <v>2.656980056980057</v>
      </c>
      <c r="M20" s="49"/>
      <c r="N20" s="50">
        <v>186.52</v>
      </c>
      <c r="O20" s="50"/>
      <c r="P20" s="48"/>
      <c r="Q20" s="53"/>
      <c r="R20" s="53">
        <f t="shared" si="1"/>
        <v>186.52</v>
      </c>
      <c r="S20" s="54" t="s">
        <v>7</v>
      </c>
      <c r="T20" s="141" t="s">
        <v>90</v>
      </c>
      <c r="U20" s="39" t="s">
        <v>167</v>
      </c>
      <c r="V20" s="26"/>
      <c r="W20" s="26"/>
      <c r="X20" s="26"/>
      <c r="Y20" s="26"/>
      <c r="Z20" s="27"/>
      <c r="AA20" s="41"/>
      <c r="AB20" s="114"/>
    </row>
    <row r="21" spans="1:28" s="28" customFormat="1" ht="20.100000000000001" customHeight="1">
      <c r="A21" s="129"/>
      <c r="B21" s="139"/>
      <c r="C21" s="58" t="s">
        <v>166</v>
      </c>
      <c r="D21" s="82">
        <v>118</v>
      </c>
      <c r="E21" s="44" t="s">
        <v>68</v>
      </c>
      <c r="F21" s="83">
        <v>4</v>
      </c>
      <c r="G21" s="82">
        <v>120</v>
      </c>
      <c r="H21" s="44" t="s">
        <v>68</v>
      </c>
      <c r="I21" s="83">
        <v>14</v>
      </c>
      <c r="J21" s="46" t="s">
        <v>69</v>
      </c>
      <c r="K21" s="47">
        <v>54.6</v>
      </c>
      <c r="L21" s="48">
        <f t="shared" si="0"/>
        <v>1.5620879120879121</v>
      </c>
      <c r="M21" s="49"/>
      <c r="N21" s="50">
        <v>85.29</v>
      </c>
      <c r="O21" s="50"/>
      <c r="P21" s="48"/>
      <c r="Q21" s="53"/>
      <c r="R21" s="53">
        <f t="shared" si="1"/>
        <v>85.29</v>
      </c>
      <c r="S21" s="54" t="s">
        <v>7</v>
      </c>
      <c r="T21" s="141" t="s">
        <v>90</v>
      </c>
      <c r="U21" s="39" t="s">
        <v>167</v>
      </c>
      <c r="V21" s="26"/>
      <c r="W21" s="26"/>
      <c r="X21" s="26"/>
      <c r="Y21" s="26"/>
      <c r="Z21" s="27"/>
      <c r="AA21" s="41"/>
      <c r="AB21" s="114"/>
    </row>
    <row r="22" spans="1:28" s="28" customFormat="1" ht="20.100000000000001" customHeight="1">
      <c r="A22" s="129"/>
      <c r="B22" s="139"/>
      <c r="C22" s="58" t="s">
        <v>166</v>
      </c>
      <c r="D22" s="82">
        <v>121</v>
      </c>
      <c r="E22" s="44" t="s">
        <v>68</v>
      </c>
      <c r="F22" s="83">
        <v>1</v>
      </c>
      <c r="G22" s="82">
        <v>123</v>
      </c>
      <c r="H22" s="44" t="s">
        <v>68</v>
      </c>
      <c r="I22" s="83">
        <v>6.75</v>
      </c>
      <c r="J22" s="46" t="s">
        <v>69</v>
      </c>
      <c r="K22" s="47">
        <v>25.25</v>
      </c>
      <c r="L22" s="48">
        <f t="shared" si="0"/>
        <v>3.8396039603960399</v>
      </c>
      <c r="M22" s="49"/>
      <c r="N22" s="50">
        <v>96.95</v>
      </c>
      <c r="O22" s="50"/>
      <c r="P22" s="48"/>
      <c r="Q22" s="53"/>
      <c r="R22" s="53">
        <f t="shared" si="1"/>
        <v>96.95</v>
      </c>
      <c r="S22" s="54" t="s">
        <v>7</v>
      </c>
      <c r="T22" s="141" t="s">
        <v>90</v>
      </c>
      <c r="U22" s="39" t="s">
        <v>167</v>
      </c>
      <c r="V22" s="26"/>
      <c r="W22" s="26"/>
      <c r="X22" s="26"/>
      <c r="Y22" s="26"/>
      <c r="Z22" s="27"/>
      <c r="AA22" s="41"/>
      <c r="AB22" s="114"/>
    </row>
    <row r="23" spans="1:28" s="28" customFormat="1" ht="20.100000000000001" customHeight="1">
      <c r="A23" s="129"/>
      <c r="B23" s="57"/>
      <c r="C23" s="58" t="s">
        <v>166</v>
      </c>
      <c r="D23" s="82">
        <v>305</v>
      </c>
      <c r="E23" s="44" t="s">
        <v>68</v>
      </c>
      <c r="F23" s="83">
        <v>0</v>
      </c>
      <c r="G23" s="82">
        <v>306</v>
      </c>
      <c r="H23" s="44" t="s">
        <v>68</v>
      </c>
      <c r="I23" s="83">
        <v>2</v>
      </c>
      <c r="J23" s="46" t="s">
        <v>69</v>
      </c>
      <c r="K23" s="47">
        <v>22</v>
      </c>
      <c r="L23" s="48">
        <f t="shared" si="0"/>
        <v>4.4068181818181822</v>
      </c>
      <c r="M23" s="49"/>
      <c r="N23" s="50">
        <v>96.95</v>
      </c>
      <c r="O23" s="50"/>
      <c r="P23" s="48"/>
      <c r="Q23" s="53"/>
      <c r="R23" s="53">
        <v>94.07</v>
      </c>
      <c r="S23" s="54" t="s">
        <v>7</v>
      </c>
      <c r="T23" s="141" t="s">
        <v>91</v>
      </c>
      <c r="U23" s="39" t="s">
        <v>167</v>
      </c>
      <c r="V23" s="26"/>
      <c r="W23" s="26"/>
      <c r="X23" s="26"/>
      <c r="Y23" s="26"/>
      <c r="Z23" s="27"/>
      <c r="AA23" s="41"/>
      <c r="AB23" s="114"/>
    </row>
    <row r="24" spans="1:28" s="28" customFormat="1" ht="20.100000000000001" customHeight="1">
      <c r="A24" s="129"/>
      <c r="B24" s="57"/>
      <c r="C24" s="58" t="s">
        <v>169</v>
      </c>
      <c r="D24" s="82">
        <v>225</v>
      </c>
      <c r="E24" s="44" t="s">
        <v>68</v>
      </c>
      <c r="F24" s="83">
        <v>10</v>
      </c>
      <c r="G24" s="82">
        <v>225</v>
      </c>
      <c r="H24" s="44"/>
      <c r="I24" s="83">
        <v>10</v>
      </c>
      <c r="J24" s="46" t="s">
        <v>70</v>
      </c>
      <c r="K24" s="47">
        <v>34.270000000000003</v>
      </c>
      <c r="L24" s="48">
        <f t="shared" si="0"/>
        <v>1.4601692442369418</v>
      </c>
      <c r="M24" s="49"/>
      <c r="N24" s="50">
        <v>50.04</v>
      </c>
      <c r="O24" s="50"/>
      <c r="P24" s="48"/>
      <c r="Q24" s="53"/>
      <c r="R24" s="53">
        <v>50.04</v>
      </c>
      <c r="S24" s="54" t="s">
        <v>7</v>
      </c>
      <c r="T24" s="141" t="s">
        <v>91</v>
      </c>
      <c r="U24" s="39" t="s">
        <v>167</v>
      </c>
      <c r="V24" s="26"/>
      <c r="W24" s="26"/>
      <c r="X24" s="26"/>
      <c r="Y24" s="26"/>
      <c r="Z24" s="27"/>
      <c r="AA24" s="41"/>
      <c r="AB24" s="114"/>
    </row>
    <row r="25" spans="1:28" s="28" customFormat="1" ht="20.100000000000001" customHeight="1">
      <c r="A25" s="129"/>
      <c r="B25" s="57"/>
      <c r="C25" s="58" t="s">
        <v>166</v>
      </c>
      <c r="D25" s="82">
        <v>122</v>
      </c>
      <c r="E25" s="44" t="s">
        <v>68</v>
      </c>
      <c r="F25" s="83">
        <v>10</v>
      </c>
      <c r="G25" s="82">
        <v>123</v>
      </c>
      <c r="H25" s="44" t="s">
        <v>68</v>
      </c>
      <c r="I25" s="83">
        <v>13</v>
      </c>
      <c r="J25" s="46" t="s">
        <v>69</v>
      </c>
      <c r="K25" s="47">
        <v>25.25</v>
      </c>
      <c r="L25" s="48">
        <f t="shared" si="0"/>
        <v>5.1853465346534655</v>
      </c>
      <c r="M25" s="49"/>
      <c r="N25" s="50">
        <v>130.93</v>
      </c>
      <c r="O25" s="50"/>
      <c r="P25" s="48"/>
      <c r="Q25" s="53"/>
      <c r="R25" s="53">
        <f>N25</f>
        <v>130.93</v>
      </c>
      <c r="S25" s="54" t="s">
        <v>7</v>
      </c>
      <c r="T25" s="141" t="s">
        <v>91</v>
      </c>
      <c r="U25" s="39" t="s">
        <v>165</v>
      </c>
      <c r="V25" s="26"/>
      <c r="W25" s="26"/>
      <c r="X25" s="26"/>
      <c r="Y25" s="26"/>
      <c r="Z25" s="27"/>
      <c r="AA25" s="41"/>
      <c r="AB25" s="114"/>
    </row>
    <row r="26" spans="1:28" s="28" customFormat="1" ht="20.100000000000001" customHeight="1">
      <c r="A26" s="129"/>
      <c r="B26" s="139"/>
      <c r="C26" s="79"/>
      <c r="D26" s="85"/>
      <c r="E26" s="86"/>
      <c r="F26" s="87"/>
      <c r="G26" s="85"/>
      <c r="H26" s="86"/>
      <c r="I26" s="87"/>
      <c r="J26" s="138"/>
      <c r="K26" s="137"/>
      <c r="L26" s="134"/>
      <c r="M26" s="136"/>
      <c r="N26" s="135"/>
      <c r="O26" s="135"/>
      <c r="P26" s="134"/>
      <c r="Q26" s="133"/>
      <c r="R26" s="133"/>
      <c r="S26" s="132"/>
      <c r="T26" s="131"/>
      <c r="U26" s="130"/>
      <c r="V26" s="26"/>
      <c r="W26" s="26"/>
      <c r="X26" s="26"/>
      <c r="Y26" s="26"/>
      <c r="Z26" s="27"/>
      <c r="AA26" s="41"/>
      <c r="AB26" s="114"/>
    </row>
    <row r="27" spans="1:28" s="28" customFormat="1" ht="20.100000000000001" customHeight="1">
      <c r="A27" s="129"/>
      <c r="B27" s="139"/>
      <c r="C27" s="79"/>
      <c r="D27" s="85"/>
      <c r="E27" s="86"/>
      <c r="F27" s="87"/>
      <c r="G27" s="85"/>
      <c r="H27" s="86"/>
      <c r="I27" s="87"/>
      <c r="J27" s="138"/>
      <c r="K27" s="137"/>
      <c r="L27" s="134"/>
      <c r="M27" s="136"/>
      <c r="N27" s="135"/>
      <c r="O27" s="135"/>
      <c r="P27" s="134"/>
      <c r="Q27" s="133"/>
      <c r="R27" s="133"/>
      <c r="S27" s="132"/>
      <c r="T27" s="131"/>
      <c r="U27" s="130"/>
      <c r="V27" s="26"/>
      <c r="W27" s="26"/>
      <c r="X27" s="26"/>
      <c r="Y27" s="26"/>
      <c r="Z27" s="27"/>
      <c r="AA27" s="41"/>
      <c r="AB27" s="114"/>
    </row>
    <row r="28" spans="1:28" s="28" customFormat="1" ht="20.100000000000001" customHeight="1">
      <c r="A28" s="129"/>
      <c r="B28" s="139"/>
      <c r="C28" s="79"/>
      <c r="D28" s="85"/>
      <c r="E28" s="86"/>
      <c r="F28" s="87"/>
      <c r="G28" s="85"/>
      <c r="H28" s="86"/>
      <c r="I28" s="87"/>
      <c r="J28" s="138"/>
      <c r="K28" s="137"/>
      <c r="L28" s="134"/>
      <c r="M28" s="136"/>
      <c r="N28" s="135"/>
      <c r="O28" s="135"/>
      <c r="P28" s="134"/>
      <c r="Q28" s="133"/>
      <c r="R28" s="133"/>
      <c r="S28" s="132"/>
      <c r="T28" s="131"/>
      <c r="U28" s="130"/>
      <c r="V28" s="26"/>
      <c r="W28" s="26"/>
      <c r="X28" s="26"/>
      <c r="Y28" s="26"/>
      <c r="Z28" s="27"/>
      <c r="AA28" s="41"/>
      <c r="AB28" s="114"/>
    </row>
    <row r="29" spans="1:28" s="28" customFormat="1" ht="20.100000000000001" customHeight="1">
      <c r="A29" s="129"/>
      <c r="B29" s="139"/>
      <c r="C29" s="79"/>
      <c r="D29" s="85"/>
      <c r="E29" s="86"/>
      <c r="F29" s="87"/>
      <c r="G29" s="85"/>
      <c r="H29" s="86"/>
      <c r="I29" s="87"/>
      <c r="J29" s="138"/>
      <c r="K29" s="137"/>
      <c r="L29" s="134"/>
      <c r="M29" s="136"/>
      <c r="N29" s="135"/>
      <c r="O29" s="135"/>
      <c r="P29" s="134"/>
      <c r="Q29" s="133"/>
      <c r="R29" s="133"/>
      <c r="S29" s="132"/>
      <c r="T29" s="131"/>
      <c r="U29" s="130"/>
      <c r="V29" s="26"/>
      <c r="W29" s="26"/>
      <c r="X29" s="26"/>
      <c r="Y29" s="26"/>
      <c r="Z29" s="27"/>
      <c r="AA29" s="41"/>
      <c r="AB29" s="114"/>
    </row>
    <row r="30" spans="1:28" s="28" customFormat="1" ht="20.100000000000001" customHeight="1">
      <c r="A30" s="129"/>
      <c r="B30" s="139"/>
      <c r="C30" s="79"/>
      <c r="D30" s="85"/>
      <c r="E30" s="86"/>
      <c r="F30" s="87"/>
      <c r="G30" s="85"/>
      <c r="H30" s="86"/>
      <c r="I30" s="87"/>
      <c r="J30" s="138"/>
      <c r="K30" s="137"/>
      <c r="L30" s="134"/>
      <c r="M30" s="136"/>
      <c r="N30" s="135"/>
      <c r="O30" s="135"/>
      <c r="P30" s="134"/>
      <c r="Q30" s="133"/>
      <c r="R30" s="133"/>
      <c r="S30" s="132"/>
      <c r="T30" s="131"/>
      <c r="U30" s="130"/>
      <c r="V30" s="26"/>
      <c r="W30" s="26"/>
      <c r="X30" s="26"/>
      <c r="Y30" s="26"/>
      <c r="Z30" s="27"/>
      <c r="AA30" s="41"/>
      <c r="AB30" s="114"/>
    </row>
    <row r="31" spans="1:28" s="28" customFormat="1" ht="20.100000000000001" customHeight="1">
      <c r="A31" s="129"/>
      <c r="B31" s="139"/>
      <c r="C31" s="79"/>
      <c r="D31" s="85"/>
      <c r="E31" s="86"/>
      <c r="F31" s="87"/>
      <c r="G31" s="85"/>
      <c r="H31" s="86"/>
      <c r="I31" s="87"/>
      <c r="J31" s="138"/>
      <c r="K31" s="137"/>
      <c r="L31" s="134"/>
      <c r="M31" s="136"/>
      <c r="N31" s="135"/>
      <c r="O31" s="135"/>
      <c r="P31" s="134"/>
      <c r="Q31" s="133"/>
      <c r="R31" s="133"/>
      <c r="S31" s="132"/>
      <c r="T31" s="131"/>
      <c r="U31" s="130"/>
      <c r="V31" s="26"/>
      <c r="W31" s="26"/>
      <c r="X31" s="26"/>
      <c r="Y31" s="26"/>
      <c r="Z31" s="27"/>
      <c r="AA31" s="41"/>
      <c r="AB31" s="114"/>
    </row>
    <row r="32" spans="1:28" s="28" customFormat="1" ht="20.100000000000001" customHeight="1">
      <c r="A32" s="129"/>
      <c r="B32" s="139"/>
      <c r="C32" s="79"/>
      <c r="D32" s="85"/>
      <c r="E32" s="86"/>
      <c r="F32" s="87"/>
      <c r="G32" s="85"/>
      <c r="H32" s="86"/>
      <c r="I32" s="87"/>
      <c r="J32" s="138"/>
      <c r="K32" s="137"/>
      <c r="L32" s="134"/>
      <c r="M32" s="136"/>
      <c r="N32" s="135"/>
      <c r="O32" s="135"/>
      <c r="P32" s="134"/>
      <c r="Q32" s="133"/>
      <c r="R32" s="133"/>
      <c r="S32" s="132"/>
      <c r="T32" s="131"/>
      <c r="U32" s="130"/>
      <c r="V32" s="26"/>
      <c r="W32" s="26"/>
      <c r="X32" s="26"/>
      <c r="Y32" s="26"/>
      <c r="Z32" s="27"/>
      <c r="AA32" s="41"/>
      <c r="AB32" s="114"/>
    </row>
    <row r="33" spans="1:28" s="28" customFormat="1" ht="20.100000000000001" customHeight="1">
      <c r="A33" s="129"/>
      <c r="B33" s="139"/>
      <c r="C33" s="79"/>
      <c r="D33" s="85"/>
      <c r="E33" s="86"/>
      <c r="F33" s="87"/>
      <c r="G33" s="85"/>
      <c r="H33" s="86"/>
      <c r="I33" s="87"/>
      <c r="J33" s="138"/>
      <c r="K33" s="137"/>
      <c r="L33" s="134"/>
      <c r="M33" s="136"/>
      <c r="N33" s="135"/>
      <c r="O33" s="135"/>
      <c r="P33" s="134"/>
      <c r="Q33" s="133"/>
      <c r="R33" s="133"/>
      <c r="S33" s="132"/>
      <c r="T33" s="131"/>
      <c r="U33" s="130"/>
      <c r="V33" s="26"/>
      <c r="W33" s="26"/>
      <c r="X33" s="26"/>
      <c r="Y33" s="26"/>
      <c r="Z33" s="27"/>
      <c r="AA33" s="41"/>
      <c r="AB33" s="114"/>
    </row>
    <row r="34" spans="1:28" s="28" customFormat="1" ht="20.100000000000001" customHeight="1">
      <c r="A34" s="129"/>
      <c r="B34" s="139"/>
      <c r="C34" s="79"/>
      <c r="D34" s="85"/>
      <c r="E34" s="86"/>
      <c r="F34" s="87"/>
      <c r="G34" s="85"/>
      <c r="H34" s="86"/>
      <c r="I34" s="87"/>
      <c r="J34" s="138"/>
      <c r="K34" s="137"/>
      <c r="L34" s="134"/>
      <c r="M34" s="136"/>
      <c r="N34" s="135"/>
      <c r="O34" s="135"/>
      <c r="P34" s="134"/>
      <c r="Q34" s="133"/>
      <c r="R34" s="133"/>
      <c r="S34" s="132"/>
      <c r="T34" s="131"/>
      <c r="U34" s="130"/>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133"/>
      <c r="R35" s="133"/>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133"/>
      <c r="R36" s="133"/>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133"/>
      <c r="R37" s="133"/>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28" customFormat="1" ht="20.100000000000001" customHeight="1">
      <c r="A48" s="129"/>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114"/>
    </row>
    <row r="49" spans="1:28" s="28" customFormat="1" ht="20.100000000000001" customHeight="1">
      <c r="A49" s="129"/>
      <c r="B49" s="128"/>
      <c r="C49" s="127"/>
      <c r="D49" s="126"/>
      <c r="E49" s="125"/>
      <c r="F49" s="124"/>
      <c r="G49" s="126"/>
      <c r="H49" s="125"/>
      <c r="I49" s="124"/>
      <c r="J49" s="123"/>
      <c r="K49" s="122"/>
      <c r="L49" s="119"/>
      <c r="M49" s="121"/>
      <c r="N49" s="120"/>
      <c r="O49" s="120"/>
      <c r="P49" s="119"/>
      <c r="Q49" s="118"/>
      <c r="R49" s="118"/>
      <c r="S49" s="117"/>
      <c r="T49" s="116"/>
      <c r="U49" s="115"/>
      <c r="V49" s="26"/>
      <c r="W49" s="26"/>
      <c r="X49" s="26"/>
      <c r="Y49" s="26"/>
      <c r="Z49" s="27"/>
      <c r="AA49" s="41"/>
      <c r="AB49" s="114"/>
    </row>
    <row r="50" spans="1:28" ht="20.100000000000001" customHeight="1">
      <c r="B50" s="109"/>
      <c r="C50" s="113"/>
      <c r="D50" s="2715" t="s">
        <v>18</v>
      </c>
      <c r="E50" s="2671"/>
      <c r="F50" s="2671"/>
      <c r="G50" s="2671"/>
      <c r="H50" s="2671"/>
      <c r="I50" s="2672"/>
      <c r="J50" s="2723" t="e">
        <f>VLOOKUP(A52,#REF!,6,FALSE)</f>
        <v>#REF!</v>
      </c>
      <c r="K50" s="2695"/>
      <c r="L50" s="112" t="e">
        <f>VLOOKUP(A52,#REF!,4,FALSE)</f>
        <v>#REF!</v>
      </c>
      <c r="M50" s="2724" t="s">
        <v>19</v>
      </c>
      <c r="N50" s="2697"/>
      <c r="O50" s="2697"/>
      <c r="P50" s="2697"/>
      <c r="Q50" s="2698"/>
      <c r="R50" s="111">
        <f>SUM(R14:R49)</f>
        <v>2046.03</v>
      </c>
      <c r="S50" s="110" t="e">
        <f>L50</f>
        <v>#REF!</v>
      </c>
      <c r="T50" s="106"/>
      <c r="U50" s="105"/>
    </row>
    <row r="51" spans="1:28" ht="20.100000000000001" customHeight="1">
      <c r="B51" s="109"/>
      <c r="C51" s="72"/>
      <c r="D51" s="2678" t="s">
        <v>20</v>
      </c>
      <c r="E51" s="2679"/>
      <c r="F51" s="2679"/>
      <c r="G51" s="2679"/>
      <c r="H51" s="2679"/>
      <c r="I51" s="2680"/>
      <c r="J51" s="2699" t="e">
        <f>R50/J50</f>
        <v>#REF!</v>
      </c>
      <c r="K51" s="2700"/>
      <c r="L51" s="2703"/>
      <c r="M51" s="2720" t="s">
        <v>21</v>
      </c>
      <c r="N51" s="2721"/>
      <c r="O51" s="2721"/>
      <c r="P51" s="2721"/>
      <c r="Q51" s="2722"/>
      <c r="R51" s="108">
        <f>SUM(R14:R25)</f>
        <v>2046.03</v>
      </c>
      <c r="S51" s="107" t="e">
        <f>L50</f>
        <v>#REF!</v>
      </c>
      <c r="T51" s="106"/>
      <c r="U51" s="105"/>
    </row>
    <row r="52" spans="1:28" ht="20.100000000000001" customHeight="1">
      <c r="A52" s="12" t="s">
        <v>174</v>
      </c>
      <c r="B52" s="104"/>
      <c r="C52" s="73"/>
      <c r="D52" s="2715"/>
      <c r="E52" s="2671"/>
      <c r="F52" s="2671"/>
      <c r="G52" s="2671"/>
      <c r="H52" s="2671"/>
      <c r="I52" s="2672"/>
      <c r="J52" s="2725"/>
      <c r="K52" s="2702"/>
      <c r="L52" s="2704"/>
      <c r="M52" s="2720" t="s">
        <v>22</v>
      </c>
      <c r="N52" s="2721"/>
      <c r="O52" s="2721"/>
      <c r="P52" s="2721"/>
      <c r="Q52" s="2722"/>
      <c r="R52" s="103">
        <f>R50-R51</f>
        <v>0</v>
      </c>
      <c r="S52" s="102" t="e">
        <f>L50</f>
        <v>#REF!</v>
      </c>
      <c r="T52" s="101"/>
      <c r="U52" s="100"/>
    </row>
  </sheetData>
  <mergeCells count="33">
    <mergeCell ref="C11:L11"/>
    <mergeCell ref="K12:K13"/>
    <mergeCell ref="B1:U5"/>
    <mergeCell ref="V5:AA5"/>
    <mergeCell ref="D51:I52"/>
    <mergeCell ref="J51:K52"/>
    <mergeCell ref="L51:L52"/>
    <mergeCell ref="M51:Q51"/>
    <mergeCell ref="M52:Q52"/>
    <mergeCell ref="D50:I50"/>
    <mergeCell ref="J50:K50"/>
    <mergeCell ref="M50:Q50"/>
    <mergeCell ref="N12:N13"/>
    <mergeCell ref="O12:O13"/>
    <mergeCell ref="Q12:Q13"/>
    <mergeCell ref="P12:P13"/>
    <mergeCell ref="M12:M13"/>
    <mergeCell ref="U12:U13"/>
    <mergeCell ref="D13:F13"/>
    <mergeCell ref="G13:I13"/>
    <mergeCell ref="R12:R13"/>
    <mergeCell ref="S12:S13"/>
    <mergeCell ref="T12:T13"/>
    <mergeCell ref="B12:B13"/>
    <mergeCell ref="C12:C13"/>
    <mergeCell ref="D12:I12"/>
    <mergeCell ref="J12:J13"/>
    <mergeCell ref="L12:L13"/>
    <mergeCell ref="B6:J6"/>
    <mergeCell ref="K6:U6"/>
    <mergeCell ref="T8:U8"/>
    <mergeCell ref="T9:U9"/>
    <mergeCell ref="T10:U10"/>
  </mergeCells>
  <conditionalFormatting sqref="J51:K52">
    <cfRule type="cellIs" dxfId="29" priority="1" operator="greaterThanOrEqual">
      <formula>1</formula>
    </cfRule>
    <cfRule type="cellIs" dxfId="28" priority="2" operator="greaterThan">
      <formula>100%</formula>
    </cfRule>
  </conditionalFormatting>
  <printOptions horizontalCentered="1"/>
  <pageMargins left="0.39370078740157483" right="0.39370078740157483" top="0.78740157480314965" bottom="0.78740157480314965" header="0" footer="0.19685039370078741"/>
  <pageSetup paperSize="9" scale="46"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336600"/>
    <pageSetUpPr fitToPage="1"/>
  </sheetPr>
  <dimension ref="A1:AJ52"/>
  <sheetViews>
    <sheetView view="pageBreakPreview" topLeftCell="A16" zoomScale="60" zoomScaleNormal="100" workbookViewId="0">
      <selection activeCell="AA50" sqref="AA50"/>
    </sheetView>
  </sheetViews>
  <sheetFormatPr defaultRowHeight="12.75"/>
  <cols>
    <col min="1" max="1" width="9.140625" style="12"/>
    <col min="2" max="2" width="14.2851562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7" width="13.7109375" style="8" customWidth="1"/>
    <col min="18" max="18" width="16.28515625" style="8" bestFit="1" customWidth="1"/>
    <col min="19" max="19" width="9" style="8" customWidth="1"/>
    <col min="20" max="20" width="13.7109375" style="8" customWidth="1"/>
    <col min="21" max="21" width="40.5703125" style="8" customWidth="1"/>
    <col min="22" max="27" width="9.140625" style="8"/>
    <col min="28" max="28" width="12.7109375" style="15" customWidth="1"/>
    <col min="29" max="16384" width="9.140625" style="8"/>
  </cols>
  <sheetData>
    <row r="1" spans="1:36" ht="18.75" customHeight="1">
      <c r="B1" s="2652" t="s">
        <v>115</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708" t="s">
        <v>9</v>
      </c>
      <c r="C6" s="2709"/>
      <c r="D6" s="2709"/>
      <c r="E6" s="2709"/>
      <c r="F6" s="2709"/>
      <c r="G6" s="2709"/>
      <c r="H6" s="2709"/>
      <c r="I6" s="2709"/>
      <c r="J6" s="2709"/>
      <c r="K6" s="2710" t="s">
        <v>10</v>
      </c>
      <c r="L6" s="2711"/>
      <c r="M6" s="2711"/>
      <c r="N6" s="2711"/>
      <c r="O6" s="2711"/>
      <c r="P6" s="2711"/>
      <c r="Q6" s="2711"/>
      <c r="R6" s="2711"/>
      <c r="S6" s="2711"/>
      <c r="T6" s="2711"/>
      <c r="U6" s="2712"/>
      <c r="V6" s="99"/>
      <c r="W6" s="99"/>
      <c r="X6" s="99"/>
      <c r="Y6" s="99"/>
      <c r="Z6" s="99"/>
      <c r="AA6" s="99"/>
      <c r="AB6" s="17"/>
    </row>
    <row r="7" spans="1:36" s="20" customFormat="1" ht="15.75">
      <c r="A7" s="19"/>
      <c r="B7" s="152" t="s">
        <v>96</v>
      </c>
      <c r="C7" s="149" t="e">
        <f>#REF!</f>
        <v>#REF!</v>
      </c>
      <c r="D7" s="145"/>
      <c r="E7" s="92"/>
      <c r="F7" s="92"/>
      <c r="G7" s="145"/>
      <c r="H7" s="92"/>
      <c r="I7" s="92"/>
      <c r="J7" s="200"/>
      <c r="K7" s="151" t="s">
        <v>190</v>
      </c>
      <c r="L7" s="94"/>
      <c r="M7" s="93"/>
      <c r="N7" s="93"/>
      <c r="O7" s="150"/>
      <c r="P7" s="93"/>
      <c r="Q7" s="93"/>
      <c r="R7" s="93"/>
      <c r="S7" s="94"/>
      <c r="T7" s="94"/>
      <c r="U7" s="95"/>
      <c r="AB7" s="21"/>
    </row>
    <row r="8" spans="1:36" s="20" customFormat="1" ht="15.75">
      <c r="A8" s="19"/>
      <c r="B8" s="148" t="s">
        <v>79</v>
      </c>
      <c r="C8" s="149" t="e">
        <f>#REF!</f>
        <v>#REF!</v>
      </c>
      <c r="D8" s="145"/>
      <c r="E8" s="92"/>
      <c r="F8" s="92"/>
      <c r="G8" s="145"/>
      <c r="H8" s="92"/>
      <c r="I8" s="92"/>
      <c r="J8" s="144"/>
      <c r="K8" s="146" t="s">
        <v>191</v>
      </c>
      <c r="L8" s="145"/>
      <c r="M8" s="145"/>
      <c r="N8" s="96"/>
      <c r="O8" s="96"/>
      <c r="P8" s="96"/>
      <c r="Q8" s="96"/>
      <c r="R8" s="96"/>
      <c r="S8" s="145"/>
      <c r="T8" s="2647"/>
      <c r="U8" s="2648"/>
      <c r="AB8" s="21"/>
    </row>
    <row r="9" spans="1:36" s="20" customFormat="1" ht="15.75">
      <c r="A9" s="19"/>
      <c r="B9" s="148" t="s">
        <v>11</v>
      </c>
      <c r="C9" s="147" t="e">
        <f>VLOOKUP(B9,[0]!_xlnm.Print_Area,2,FALSE)</f>
        <v>#REF!</v>
      </c>
      <c r="D9" s="145"/>
      <c r="E9" s="92"/>
      <c r="F9" s="92"/>
      <c r="G9" s="145"/>
      <c r="H9" s="92"/>
      <c r="I9" s="92"/>
      <c r="J9" s="144"/>
      <c r="K9" s="146" t="s">
        <v>192</v>
      </c>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147" t="e">
        <f>VLOOKUP(B10,[0]!_xlnm.Print_Area,2,FALSE)</f>
        <v>#REF!</v>
      </c>
      <c r="D10" s="145"/>
      <c r="E10" s="92"/>
      <c r="F10" s="92"/>
      <c r="G10" s="145"/>
      <c r="H10" s="92"/>
      <c r="I10" s="92"/>
      <c r="J10" s="201"/>
      <c r="K10" s="146" t="s">
        <v>193</v>
      </c>
      <c r="L10" s="92"/>
      <c r="M10" s="92"/>
      <c r="N10" s="92"/>
      <c r="O10" s="92"/>
      <c r="P10" s="202"/>
      <c r="Q10" s="92"/>
      <c r="R10" s="92"/>
      <c r="S10" s="92"/>
      <c r="T10" s="2660"/>
      <c r="U10" s="2661"/>
      <c r="AA10" s="22"/>
      <c r="AB10" s="22"/>
      <c r="AC10" s="22"/>
      <c r="AD10" s="22"/>
      <c r="AE10" s="22"/>
      <c r="AF10" s="22"/>
      <c r="AG10" s="22"/>
      <c r="AH10" s="22"/>
      <c r="AI10" s="22"/>
      <c r="AJ10" s="22"/>
    </row>
    <row r="11" spans="1:36" s="29" customFormat="1" ht="21" customHeight="1">
      <c r="A11" s="23"/>
      <c r="B11" s="143" t="str">
        <f>LEFT(A52,1)</f>
        <v>7</v>
      </c>
      <c r="C11" s="2713" t="e">
        <f>VLOOKUP(B11,#REF!,3,FALSE)</f>
        <v>#REF!</v>
      </c>
      <c r="D11" s="2714"/>
      <c r="E11" s="2714"/>
      <c r="F11" s="2714"/>
      <c r="G11" s="2714"/>
      <c r="H11" s="2714"/>
      <c r="I11" s="2714"/>
      <c r="J11" s="2714"/>
      <c r="K11" s="2714"/>
      <c r="L11" s="2714"/>
      <c r="M11" s="24"/>
      <c r="N11" s="24"/>
      <c r="O11" s="24"/>
      <c r="P11" s="24"/>
      <c r="Q11" s="24"/>
      <c r="R11" s="24"/>
      <c r="S11" s="24"/>
      <c r="T11" s="24"/>
      <c r="U11" s="25"/>
      <c r="V11" s="26"/>
      <c r="W11" s="26"/>
      <c r="X11" s="26"/>
      <c r="Y11" s="26"/>
      <c r="Z11" s="27"/>
      <c r="AA11" s="28"/>
      <c r="AB11" s="28"/>
      <c r="AC11" s="28"/>
      <c r="AD11" s="28"/>
      <c r="AE11" s="28"/>
      <c r="AF11" s="28"/>
      <c r="AG11" s="28"/>
      <c r="AH11" s="28"/>
      <c r="AI11" s="28"/>
      <c r="AJ11" s="28"/>
    </row>
    <row r="12" spans="1:36" s="29" customFormat="1" ht="20.100000000000001" customHeight="1">
      <c r="A12" s="23"/>
      <c r="B12" s="2664" t="e">
        <f>VLOOKUP(A52,#REF!,2,FALSE)</f>
        <v>#REF!</v>
      </c>
      <c r="C12" s="2665" t="e">
        <f>VLOOKUP(A52,#REF!,3,FALSE)</f>
        <v>#REF!</v>
      </c>
      <c r="D12" s="2666" t="s">
        <v>97</v>
      </c>
      <c r="E12" s="2666"/>
      <c r="F12" s="2666"/>
      <c r="G12" s="2666"/>
      <c r="H12" s="2666"/>
      <c r="I12" s="2666"/>
      <c r="J12" s="2668" t="s">
        <v>98</v>
      </c>
      <c r="K12" s="2668" t="s">
        <v>102</v>
      </c>
      <c r="L12" s="2668" t="s">
        <v>103</v>
      </c>
      <c r="M12" s="2668" t="s">
        <v>113</v>
      </c>
      <c r="N12" s="2668" t="s">
        <v>112</v>
      </c>
      <c r="O12" s="2668" t="s">
        <v>107</v>
      </c>
      <c r="P12" s="2668" t="s">
        <v>111</v>
      </c>
      <c r="Q12" s="2668" t="s">
        <v>16</v>
      </c>
      <c r="R12" s="2668" t="s">
        <v>2</v>
      </c>
      <c r="S12" s="2668" t="s">
        <v>99</v>
      </c>
      <c r="T12" s="2668" t="s">
        <v>17</v>
      </c>
      <c r="U12" s="2667" t="s">
        <v>110</v>
      </c>
      <c r="V12" s="26"/>
      <c r="W12" s="26"/>
      <c r="X12" s="26"/>
      <c r="Y12" s="26"/>
      <c r="Z12" s="27"/>
      <c r="AA12" s="28"/>
      <c r="AB12" s="28"/>
      <c r="AC12" s="28"/>
      <c r="AD12" s="28"/>
      <c r="AE12" s="28"/>
      <c r="AF12" s="28"/>
      <c r="AG12" s="28"/>
      <c r="AH12" s="28"/>
      <c r="AI12" s="28"/>
      <c r="AJ12" s="28"/>
    </row>
    <row r="13" spans="1:36" s="29" customFormat="1" ht="20.100000000000001" customHeight="1">
      <c r="A13" s="23"/>
      <c r="B13" s="2664"/>
      <c r="C13" s="2665"/>
      <c r="D13" s="2669" t="s">
        <v>14</v>
      </c>
      <c r="E13" s="2669"/>
      <c r="F13" s="2669"/>
      <c r="G13" s="2667" t="s">
        <v>15</v>
      </c>
      <c r="H13" s="2667"/>
      <c r="I13" s="2667"/>
      <c r="J13" s="2417"/>
      <c r="K13" s="2417"/>
      <c r="L13" s="2417"/>
      <c r="M13" s="2417"/>
      <c r="N13" s="2417"/>
      <c r="O13" s="2417"/>
      <c r="P13" s="2417"/>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39"/>
      <c r="C14" s="58" t="s">
        <v>176</v>
      </c>
      <c r="D14" s="82">
        <v>300</v>
      </c>
      <c r="E14" s="44" t="s">
        <v>68</v>
      </c>
      <c r="F14" s="83">
        <v>0</v>
      </c>
      <c r="G14" s="82">
        <v>302</v>
      </c>
      <c r="H14" s="44" t="s">
        <v>68</v>
      </c>
      <c r="I14" s="83">
        <v>10</v>
      </c>
      <c r="J14" s="46" t="s">
        <v>69</v>
      </c>
      <c r="K14" s="47">
        <v>54.59</v>
      </c>
      <c r="L14" s="48"/>
      <c r="M14" s="49"/>
      <c r="N14" s="50"/>
      <c r="O14" s="50"/>
      <c r="P14" s="48"/>
      <c r="Q14" s="53"/>
      <c r="R14" s="37">
        <f t="shared" ref="R14:R29" si="0">K14</f>
        <v>54.59</v>
      </c>
      <c r="S14" s="54" t="s">
        <v>8</v>
      </c>
      <c r="T14" s="141" t="s">
        <v>90</v>
      </c>
      <c r="U14" s="39" t="s">
        <v>165</v>
      </c>
      <c r="V14" s="26"/>
      <c r="W14" s="26"/>
      <c r="X14" s="26"/>
      <c r="Y14" s="26"/>
      <c r="Z14" s="27"/>
    </row>
    <row r="15" spans="1:36" s="28" customFormat="1" ht="20.100000000000001" customHeight="1">
      <c r="A15" s="129"/>
      <c r="B15" s="139"/>
      <c r="C15" s="58" t="s">
        <v>176</v>
      </c>
      <c r="D15" s="82">
        <v>303</v>
      </c>
      <c r="E15" s="44" t="s">
        <v>68</v>
      </c>
      <c r="F15" s="83">
        <v>0</v>
      </c>
      <c r="G15" s="82">
        <v>305</v>
      </c>
      <c r="H15" s="44" t="s">
        <v>68</v>
      </c>
      <c r="I15" s="83">
        <v>2</v>
      </c>
      <c r="J15" s="46" t="s">
        <v>69</v>
      </c>
      <c r="K15" s="47">
        <v>41.64</v>
      </c>
      <c r="L15" s="48"/>
      <c r="M15" s="49"/>
      <c r="N15" s="50"/>
      <c r="O15" s="50"/>
      <c r="P15" s="48"/>
      <c r="Q15" s="53"/>
      <c r="R15" s="37">
        <f t="shared" si="0"/>
        <v>41.64</v>
      </c>
      <c r="S15" s="54" t="s">
        <v>8</v>
      </c>
      <c r="T15" s="141" t="s">
        <v>90</v>
      </c>
      <c r="U15" s="39" t="s">
        <v>165</v>
      </c>
      <c r="V15" s="26"/>
      <c r="W15" s="26"/>
      <c r="X15" s="26"/>
      <c r="Y15" s="26"/>
      <c r="Z15" s="27"/>
      <c r="AA15" s="41"/>
      <c r="AB15" s="114"/>
    </row>
    <row r="16" spans="1:36" s="28" customFormat="1" ht="20.100000000000001" customHeight="1">
      <c r="A16" s="129"/>
      <c r="B16" s="139"/>
      <c r="C16" s="58" t="s">
        <v>176</v>
      </c>
      <c r="D16" s="82">
        <v>101</v>
      </c>
      <c r="E16" s="44" t="s">
        <v>68</v>
      </c>
      <c r="F16" s="83">
        <v>7</v>
      </c>
      <c r="G16" s="82">
        <v>104</v>
      </c>
      <c r="H16" s="44" t="s">
        <v>68</v>
      </c>
      <c r="I16" s="83">
        <v>0</v>
      </c>
      <c r="J16" s="46" t="s">
        <v>69</v>
      </c>
      <c r="K16" s="47">
        <v>46.3</v>
      </c>
      <c r="L16" s="48"/>
      <c r="M16" s="49"/>
      <c r="N16" s="50"/>
      <c r="O16" s="50"/>
      <c r="P16" s="48"/>
      <c r="Q16" s="53"/>
      <c r="R16" s="37">
        <f t="shared" si="0"/>
        <v>46.3</v>
      </c>
      <c r="S16" s="54" t="s">
        <v>8</v>
      </c>
      <c r="T16" s="141" t="s">
        <v>90</v>
      </c>
      <c r="U16" s="39" t="s">
        <v>165</v>
      </c>
      <c r="V16" s="26"/>
      <c r="W16" s="26"/>
      <c r="X16" s="26"/>
      <c r="Y16" s="26"/>
      <c r="Z16" s="27"/>
      <c r="AA16" s="41"/>
      <c r="AB16" s="114"/>
    </row>
    <row r="17" spans="1:28" s="28" customFormat="1" ht="20.100000000000001" customHeight="1">
      <c r="A17" s="129"/>
      <c r="B17" s="139"/>
      <c r="C17" s="58" t="s">
        <v>176</v>
      </c>
      <c r="D17" s="82">
        <v>219</v>
      </c>
      <c r="E17" s="44" t="s">
        <v>68</v>
      </c>
      <c r="F17" s="83">
        <v>0</v>
      </c>
      <c r="G17" s="82">
        <v>227</v>
      </c>
      <c r="H17" s="44" t="s">
        <v>68</v>
      </c>
      <c r="I17" s="83">
        <v>16</v>
      </c>
      <c r="J17" s="46" t="s">
        <v>69</v>
      </c>
      <c r="K17" s="47">
        <v>518.64</v>
      </c>
      <c r="L17" s="48"/>
      <c r="M17" s="49"/>
      <c r="N17" s="50"/>
      <c r="O17" s="50"/>
      <c r="P17" s="48"/>
      <c r="Q17" s="53"/>
      <c r="R17" s="37">
        <f t="shared" si="0"/>
        <v>518.64</v>
      </c>
      <c r="S17" s="54" t="s">
        <v>8</v>
      </c>
      <c r="T17" s="141" t="s">
        <v>90</v>
      </c>
      <c r="U17" s="39" t="s">
        <v>165</v>
      </c>
      <c r="V17" s="26"/>
      <c r="W17" s="26"/>
      <c r="X17" s="26"/>
      <c r="Y17" s="26"/>
      <c r="Z17" s="27"/>
      <c r="AA17" s="41"/>
      <c r="AB17" s="114"/>
    </row>
    <row r="18" spans="1:28" s="28" customFormat="1" ht="20.100000000000001" customHeight="1">
      <c r="A18" s="129"/>
      <c r="B18" s="139"/>
      <c r="C18" s="58" t="s">
        <v>177</v>
      </c>
      <c r="D18" s="82">
        <v>219</v>
      </c>
      <c r="E18" s="44" t="s">
        <v>68</v>
      </c>
      <c r="F18" s="83">
        <v>10</v>
      </c>
      <c r="G18" s="82">
        <v>223</v>
      </c>
      <c r="H18" s="44" t="s">
        <v>68</v>
      </c>
      <c r="I18" s="83">
        <v>10</v>
      </c>
      <c r="J18" s="46" t="s">
        <v>105</v>
      </c>
      <c r="K18" s="47">
        <v>166.61</v>
      </c>
      <c r="L18" s="48"/>
      <c r="M18" s="49"/>
      <c r="N18" s="50"/>
      <c r="O18" s="50"/>
      <c r="P18" s="48"/>
      <c r="Q18" s="53"/>
      <c r="R18" s="37">
        <f t="shared" si="0"/>
        <v>166.61</v>
      </c>
      <c r="S18" s="54" t="s">
        <v>8</v>
      </c>
      <c r="T18" s="141" t="s">
        <v>90</v>
      </c>
      <c r="U18" s="39" t="s">
        <v>165</v>
      </c>
      <c r="V18" s="26"/>
      <c r="W18" s="26"/>
      <c r="X18" s="26"/>
      <c r="Y18" s="26"/>
      <c r="Z18" s="27"/>
      <c r="AA18" s="41"/>
      <c r="AB18" s="114"/>
    </row>
    <row r="19" spans="1:28" s="28" customFormat="1" ht="20.100000000000001" customHeight="1">
      <c r="A19" s="129"/>
      <c r="B19" s="139"/>
      <c r="C19" s="58" t="s">
        <v>177</v>
      </c>
      <c r="D19" s="82">
        <v>400</v>
      </c>
      <c r="E19" s="44" t="s">
        <v>68</v>
      </c>
      <c r="F19" s="83">
        <v>0</v>
      </c>
      <c r="G19" s="82">
        <v>401</v>
      </c>
      <c r="H19" s="44" t="s">
        <v>68</v>
      </c>
      <c r="I19" s="83">
        <v>0</v>
      </c>
      <c r="J19" s="46" t="s">
        <v>69</v>
      </c>
      <c r="K19" s="47">
        <v>19.75</v>
      </c>
      <c r="L19" s="48"/>
      <c r="M19" s="49"/>
      <c r="N19" s="50"/>
      <c r="O19" s="50"/>
      <c r="P19" s="48"/>
      <c r="Q19" s="53"/>
      <c r="R19" s="37">
        <f t="shared" si="0"/>
        <v>19.75</v>
      </c>
      <c r="S19" s="54" t="s">
        <v>8</v>
      </c>
      <c r="T19" s="141" t="s">
        <v>90</v>
      </c>
      <c r="U19" s="39" t="s">
        <v>165</v>
      </c>
      <c r="V19" s="26"/>
      <c r="W19" s="26"/>
      <c r="X19" s="26"/>
      <c r="Y19" s="26"/>
      <c r="Z19" s="27"/>
      <c r="AA19" s="41"/>
      <c r="AB19" s="114"/>
    </row>
    <row r="20" spans="1:28" s="28" customFormat="1" ht="20.100000000000001" customHeight="1">
      <c r="A20" s="129"/>
      <c r="B20" s="139"/>
      <c r="C20" s="58" t="s">
        <v>177</v>
      </c>
      <c r="D20" s="82">
        <v>300</v>
      </c>
      <c r="E20" s="44" t="s">
        <v>68</v>
      </c>
      <c r="F20" s="83">
        <v>0</v>
      </c>
      <c r="G20" s="82">
        <v>302</v>
      </c>
      <c r="H20" s="44" t="s">
        <v>68</v>
      </c>
      <c r="I20" s="83">
        <v>10</v>
      </c>
      <c r="J20" s="46" t="s">
        <v>70</v>
      </c>
      <c r="K20" s="47">
        <v>58.19</v>
      </c>
      <c r="L20" s="48"/>
      <c r="M20" s="49"/>
      <c r="N20" s="50"/>
      <c r="O20" s="50"/>
      <c r="P20" s="48"/>
      <c r="Q20" s="53"/>
      <c r="R20" s="37">
        <f t="shared" si="0"/>
        <v>58.19</v>
      </c>
      <c r="S20" s="54" t="s">
        <v>8</v>
      </c>
      <c r="T20" s="141" t="s">
        <v>90</v>
      </c>
      <c r="U20" s="39" t="s">
        <v>165</v>
      </c>
      <c r="V20" s="26"/>
      <c r="W20" s="26"/>
      <c r="X20" s="26"/>
      <c r="Y20" s="26"/>
      <c r="Z20" s="27"/>
      <c r="AA20" s="41"/>
      <c r="AB20" s="114"/>
    </row>
    <row r="21" spans="1:28" s="28" customFormat="1" ht="20.100000000000001" customHeight="1">
      <c r="A21" s="129"/>
      <c r="B21" s="139"/>
      <c r="C21" s="58" t="s">
        <v>177</v>
      </c>
      <c r="D21" s="82">
        <v>224</v>
      </c>
      <c r="E21" s="44"/>
      <c r="F21" s="83">
        <v>3</v>
      </c>
      <c r="G21" s="82">
        <v>227</v>
      </c>
      <c r="H21" s="44"/>
      <c r="I21" s="83">
        <v>0</v>
      </c>
      <c r="J21" s="46" t="s">
        <v>70</v>
      </c>
      <c r="K21" s="47">
        <v>74.55</v>
      </c>
      <c r="L21" s="48"/>
      <c r="M21" s="49"/>
      <c r="N21" s="50"/>
      <c r="O21" s="50"/>
      <c r="P21" s="48"/>
      <c r="Q21" s="53"/>
      <c r="R21" s="37">
        <f t="shared" si="0"/>
        <v>74.55</v>
      </c>
      <c r="S21" s="54" t="s">
        <v>8</v>
      </c>
      <c r="T21" s="141" t="s">
        <v>90</v>
      </c>
      <c r="U21" s="39" t="s">
        <v>165</v>
      </c>
      <c r="V21" s="26"/>
      <c r="W21" s="26"/>
      <c r="X21" s="26"/>
      <c r="Y21" s="26"/>
      <c r="Z21" s="27"/>
      <c r="AA21" s="41"/>
      <c r="AB21" s="114"/>
    </row>
    <row r="22" spans="1:28" s="28" customFormat="1" ht="20.100000000000001" customHeight="1">
      <c r="A22" s="129"/>
      <c r="B22" s="139"/>
      <c r="C22" s="58" t="s">
        <v>176</v>
      </c>
      <c r="D22" s="82">
        <v>114</v>
      </c>
      <c r="E22" s="44" t="s">
        <v>68</v>
      </c>
      <c r="F22" s="83">
        <v>0</v>
      </c>
      <c r="G22" s="82">
        <v>114</v>
      </c>
      <c r="H22" s="44" t="s">
        <v>68</v>
      </c>
      <c r="I22" s="83">
        <v>4</v>
      </c>
      <c r="J22" s="46" t="s">
        <v>69</v>
      </c>
      <c r="K22" s="47">
        <v>17.850000000000001</v>
      </c>
      <c r="L22" s="48"/>
      <c r="M22" s="49"/>
      <c r="N22" s="50"/>
      <c r="O22" s="50"/>
      <c r="P22" s="48"/>
      <c r="Q22" s="53"/>
      <c r="R22" s="53">
        <f t="shared" si="0"/>
        <v>17.850000000000001</v>
      </c>
      <c r="S22" s="54" t="s">
        <v>8</v>
      </c>
      <c r="T22" s="141" t="s">
        <v>90</v>
      </c>
      <c r="U22" s="39" t="s">
        <v>167</v>
      </c>
      <c r="V22" s="26"/>
      <c r="W22" s="26"/>
      <c r="X22" s="26"/>
      <c r="Y22" s="26"/>
      <c r="Z22" s="27"/>
      <c r="AA22" s="41"/>
      <c r="AB22" s="114"/>
    </row>
    <row r="23" spans="1:28" s="28" customFormat="1" ht="20.100000000000001" customHeight="1">
      <c r="A23" s="129"/>
      <c r="B23" s="139"/>
      <c r="C23" s="58" t="s">
        <v>176</v>
      </c>
      <c r="D23" s="82">
        <v>114</v>
      </c>
      <c r="E23" s="44" t="s">
        <v>68</v>
      </c>
      <c r="F23" s="83">
        <v>7</v>
      </c>
      <c r="G23" s="82">
        <v>117</v>
      </c>
      <c r="H23" s="44" t="s">
        <v>68</v>
      </c>
      <c r="I23" s="83">
        <v>14</v>
      </c>
      <c r="J23" s="46" t="s">
        <v>69</v>
      </c>
      <c r="K23" s="47">
        <v>70.040000000000006</v>
      </c>
      <c r="L23" s="48"/>
      <c r="M23" s="49"/>
      <c r="N23" s="50"/>
      <c r="O23" s="50"/>
      <c r="P23" s="48"/>
      <c r="Q23" s="53"/>
      <c r="R23" s="53">
        <f t="shared" si="0"/>
        <v>70.040000000000006</v>
      </c>
      <c r="S23" s="54" t="s">
        <v>8</v>
      </c>
      <c r="T23" s="141" t="s">
        <v>90</v>
      </c>
      <c r="U23" s="39" t="s">
        <v>167</v>
      </c>
      <c r="V23" s="26"/>
      <c r="W23" s="26"/>
      <c r="X23" s="26"/>
      <c r="Y23" s="26"/>
      <c r="Z23" s="27"/>
      <c r="AA23" s="41"/>
      <c r="AB23" s="114"/>
    </row>
    <row r="24" spans="1:28" s="28" customFormat="1" ht="20.100000000000001" customHeight="1">
      <c r="A24" s="129"/>
      <c r="B24" s="139"/>
      <c r="C24" s="58" t="s">
        <v>176</v>
      </c>
      <c r="D24" s="82">
        <v>118</v>
      </c>
      <c r="E24" s="44" t="s">
        <v>68</v>
      </c>
      <c r="F24" s="83">
        <v>4</v>
      </c>
      <c r="G24" s="82">
        <v>120</v>
      </c>
      <c r="H24" s="44" t="s">
        <v>68</v>
      </c>
      <c r="I24" s="83">
        <v>14</v>
      </c>
      <c r="J24" s="46" t="s">
        <v>69</v>
      </c>
      <c r="K24" s="47">
        <v>52.84</v>
      </c>
      <c r="L24" s="48"/>
      <c r="M24" s="49"/>
      <c r="N24" s="50"/>
      <c r="O24" s="50"/>
      <c r="P24" s="48"/>
      <c r="Q24" s="53"/>
      <c r="R24" s="53">
        <f t="shared" si="0"/>
        <v>52.84</v>
      </c>
      <c r="S24" s="54" t="s">
        <v>8</v>
      </c>
      <c r="T24" s="141" t="s">
        <v>90</v>
      </c>
      <c r="U24" s="39" t="s">
        <v>167</v>
      </c>
      <c r="V24" s="26"/>
      <c r="W24" s="26"/>
      <c r="X24" s="26"/>
      <c r="Y24" s="26"/>
      <c r="Z24" s="27"/>
      <c r="AA24" s="41"/>
      <c r="AB24" s="114"/>
    </row>
    <row r="25" spans="1:28" s="28" customFormat="1" ht="20.100000000000001" customHeight="1">
      <c r="A25" s="129"/>
      <c r="B25" s="139"/>
      <c r="C25" s="58" t="s">
        <v>176</v>
      </c>
      <c r="D25" s="82">
        <v>121</v>
      </c>
      <c r="E25" s="44" t="s">
        <v>68</v>
      </c>
      <c r="F25" s="83">
        <v>1</v>
      </c>
      <c r="G25" s="82">
        <v>123</v>
      </c>
      <c r="H25" s="44" t="s">
        <v>68</v>
      </c>
      <c r="I25" s="83">
        <v>6.75</v>
      </c>
      <c r="J25" s="46" t="s">
        <v>69</v>
      </c>
      <c r="K25" s="47">
        <v>28.58</v>
      </c>
      <c r="L25" s="48"/>
      <c r="M25" s="49"/>
      <c r="N25" s="50"/>
      <c r="O25" s="50"/>
      <c r="P25" s="48"/>
      <c r="Q25" s="53"/>
      <c r="R25" s="53">
        <f t="shared" si="0"/>
        <v>28.58</v>
      </c>
      <c r="S25" s="80" t="s">
        <v>8</v>
      </c>
      <c r="T25" s="141" t="s">
        <v>90</v>
      </c>
      <c r="U25" s="39" t="s">
        <v>167</v>
      </c>
      <c r="V25" s="26"/>
      <c r="W25" s="26"/>
      <c r="X25" s="26"/>
      <c r="Y25" s="26"/>
      <c r="Z25" s="27"/>
      <c r="AA25" s="41"/>
      <c r="AB25" s="114"/>
    </row>
    <row r="26" spans="1:28" s="28" customFormat="1" ht="20.100000000000001" customHeight="1">
      <c r="A26" s="129"/>
      <c r="B26" s="139"/>
      <c r="C26" s="58" t="s">
        <v>177</v>
      </c>
      <c r="D26" s="82">
        <v>219</v>
      </c>
      <c r="E26" s="44" t="s">
        <v>68</v>
      </c>
      <c r="F26" s="83">
        <v>10</v>
      </c>
      <c r="G26" s="82">
        <v>223</v>
      </c>
      <c r="H26" s="44" t="s">
        <v>68</v>
      </c>
      <c r="I26" s="83">
        <v>10</v>
      </c>
      <c r="J26" s="46" t="s">
        <v>105</v>
      </c>
      <c r="K26" s="47">
        <v>148.22999999999999</v>
      </c>
      <c r="L26" s="48"/>
      <c r="M26" s="49"/>
      <c r="N26" s="50"/>
      <c r="O26" s="50"/>
      <c r="P26" s="48"/>
      <c r="Q26" s="53"/>
      <c r="R26" s="37">
        <f t="shared" si="0"/>
        <v>148.22999999999999</v>
      </c>
      <c r="S26" s="80" t="s">
        <v>8</v>
      </c>
      <c r="T26" s="141" t="s">
        <v>91</v>
      </c>
      <c r="U26" s="39" t="s">
        <v>167</v>
      </c>
      <c r="V26" s="26"/>
      <c r="W26" s="26"/>
      <c r="X26" s="26"/>
      <c r="Y26" s="26"/>
      <c r="Z26" s="27"/>
      <c r="AA26" s="41"/>
      <c r="AB26" s="114"/>
    </row>
    <row r="27" spans="1:28" s="28" customFormat="1" ht="20.100000000000001" customHeight="1">
      <c r="A27" s="129"/>
      <c r="B27" s="139"/>
      <c r="C27" s="58" t="s">
        <v>176</v>
      </c>
      <c r="D27" s="82">
        <v>219</v>
      </c>
      <c r="E27" s="44" t="s">
        <v>68</v>
      </c>
      <c r="F27" s="83">
        <v>2</v>
      </c>
      <c r="G27" s="82">
        <v>222</v>
      </c>
      <c r="H27" s="44" t="s">
        <v>68</v>
      </c>
      <c r="I27" s="83">
        <v>3</v>
      </c>
      <c r="J27" s="46" t="s">
        <v>69</v>
      </c>
      <c r="K27" s="47">
        <v>52</v>
      </c>
      <c r="L27" s="48"/>
      <c r="M27" s="49"/>
      <c r="N27" s="50"/>
      <c r="O27" s="50"/>
      <c r="P27" s="48"/>
      <c r="Q27" s="53"/>
      <c r="R27" s="53">
        <f t="shared" si="0"/>
        <v>52</v>
      </c>
      <c r="S27" s="80" t="s">
        <v>8</v>
      </c>
      <c r="T27" s="141" t="s">
        <v>91</v>
      </c>
      <c r="U27" s="39" t="s">
        <v>167</v>
      </c>
      <c r="V27" s="26"/>
      <c r="W27" s="26"/>
      <c r="X27" s="26"/>
      <c r="Y27" s="26"/>
      <c r="Z27" s="27"/>
      <c r="AA27" s="41"/>
      <c r="AB27" s="114"/>
    </row>
    <row r="28" spans="1:28" s="28" customFormat="1" ht="20.100000000000001" customHeight="1">
      <c r="A28" s="129"/>
      <c r="B28" s="139"/>
      <c r="C28" s="58" t="s">
        <v>176</v>
      </c>
      <c r="D28" s="82">
        <v>225</v>
      </c>
      <c r="E28" s="44" t="s">
        <v>68</v>
      </c>
      <c r="F28" s="83">
        <v>10</v>
      </c>
      <c r="G28" s="82">
        <v>225</v>
      </c>
      <c r="H28" s="44"/>
      <c r="I28" s="83">
        <v>10</v>
      </c>
      <c r="J28" s="46" t="s">
        <v>70</v>
      </c>
      <c r="K28" s="47">
        <v>34.270000000000003</v>
      </c>
      <c r="L28" s="48"/>
      <c r="M28" s="49"/>
      <c r="N28" s="50"/>
      <c r="O28" s="50"/>
      <c r="P28" s="48"/>
      <c r="Q28" s="53"/>
      <c r="R28" s="53">
        <f t="shared" si="0"/>
        <v>34.270000000000003</v>
      </c>
      <c r="S28" s="80" t="s">
        <v>8</v>
      </c>
      <c r="T28" s="141" t="s">
        <v>91</v>
      </c>
      <c r="U28" s="39" t="s">
        <v>167</v>
      </c>
      <c r="V28" s="26"/>
      <c r="W28" s="26"/>
      <c r="X28" s="26"/>
      <c r="Y28" s="26"/>
      <c r="Z28" s="27"/>
      <c r="AA28" s="41"/>
      <c r="AB28" s="114"/>
    </row>
    <row r="29" spans="1:28" s="28" customFormat="1" ht="20.100000000000001" customHeight="1">
      <c r="A29" s="129"/>
      <c r="B29" s="139"/>
      <c r="C29" s="58" t="s">
        <v>176</v>
      </c>
      <c r="D29" s="82">
        <v>122</v>
      </c>
      <c r="E29" s="44" t="s">
        <v>68</v>
      </c>
      <c r="F29" s="83">
        <v>10</v>
      </c>
      <c r="G29" s="82">
        <v>123</v>
      </c>
      <c r="H29" s="44" t="s">
        <v>68</v>
      </c>
      <c r="I29" s="83">
        <v>13</v>
      </c>
      <c r="J29" s="46" t="s">
        <v>69</v>
      </c>
      <c r="K29" s="47">
        <v>34.22</v>
      </c>
      <c r="L29" s="48"/>
      <c r="M29" s="49"/>
      <c r="N29" s="50"/>
      <c r="O29" s="50"/>
      <c r="P29" s="48"/>
      <c r="Q29" s="53"/>
      <c r="R29" s="53">
        <f t="shared" si="0"/>
        <v>34.22</v>
      </c>
      <c r="S29" s="80" t="s">
        <v>8</v>
      </c>
      <c r="T29" s="141" t="s">
        <v>91</v>
      </c>
      <c r="U29" s="39" t="s">
        <v>165</v>
      </c>
      <c r="V29" s="26"/>
      <c r="W29" s="26"/>
      <c r="X29" s="26"/>
      <c r="Y29" s="26"/>
      <c r="Z29" s="27"/>
      <c r="AA29" s="41"/>
      <c r="AB29" s="114"/>
    </row>
    <row r="30" spans="1:28" s="28" customFormat="1" ht="20.100000000000001" customHeight="1">
      <c r="A30" s="129"/>
      <c r="B30" s="139"/>
      <c r="C30" s="58"/>
      <c r="D30" s="43"/>
      <c r="E30" s="44"/>
      <c r="F30" s="45"/>
      <c r="G30" s="43"/>
      <c r="H30" s="44"/>
      <c r="I30" s="45"/>
      <c r="J30" s="46"/>
      <c r="K30" s="47"/>
      <c r="L30" s="48"/>
      <c r="M30" s="49"/>
      <c r="N30" s="50"/>
      <c r="O30" s="50"/>
      <c r="P30" s="48"/>
      <c r="Q30" s="53"/>
      <c r="R30" s="53"/>
      <c r="S30" s="54"/>
      <c r="T30" s="55"/>
      <c r="U30" s="56"/>
      <c r="V30" s="26"/>
      <c r="W30" s="26"/>
      <c r="X30" s="26"/>
      <c r="Y30" s="26"/>
      <c r="Z30" s="27"/>
      <c r="AA30" s="41"/>
      <c r="AB30" s="114"/>
    </row>
    <row r="31" spans="1:28" s="28" customFormat="1" ht="20.100000000000001" customHeight="1">
      <c r="A31" s="129"/>
      <c r="B31" s="139"/>
      <c r="C31" s="79"/>
      <c r="D31" s="85"/>
      <c r="E31" s="86"/>
      <c r="F31" s="87"/>
      <c r="G31" s="85"/>
      <c r="H31" s="86"/>
      <c r="I31" s="87"/>
      <c r="J31" s="138"/>
      <c r="K31" s="137"/>
      <c r="L31" s="134"/>
      <c r="M31" s="136"/>
      <c r="N31" s="135"/>
      <c r="O31" s="135"/>
      <c r="P31" s="134"/>
      <c r="Q31" s="133"/>
      <c r="R31" s="133"/>
      <c r="S31" s="132"/>
      <c r="T31" s="131"/>
      <c r="U31" s="130"/>
      <c r="V31" s="26"/>
      <c r="W31" s="26"/>
      <c r="X31" s="26"/>
      <c r="Y31" s="26"/>
      <c r="Z31" s="27"/>
      <c r="AA31" s="41"/>
      <c r="AB31" s="114"/>
    </row>
    <row r="32" spans="1:28" s="28" customFormat="1" ht="20.100000000000001" customHeight="1">
      <c r="A32" s="129"/>
      <c r="B32" s="139"/>
      <c r="C32" s="79"/>
      <c r="D32" s="85"/>
      <c r="E32" s="86"/>
      <c r="F32" s="87"/>
      <c r="G32" s="85"/>
      <c r="H32" s="86"/>
      <c r="I32" s="87"/>
      <c r="J32" s="138"/>
      <c r="K32" s="137"/>
      <c r="L32" s="134"/>
      <c r="M32" s="136"/>
      <c r="N32" s="135"/>
      <c r="O32" s="135"/>
      <c r="P32" s="134"/>
      <c r="Q32" s="133"/>
      <c r="R32" s="133"/>
      <c r="S32" s="132"/>
      <c r="T32" s="131"/>
      <c r="U32" s="130"/>
      <c r="V32" s="26"/>
      <c r="W32" s="26"/>
      <c r="X32" s="26"/>
      <c r="Y32" s="26"/>
      <c r="Z32" s="27"/>
      <c r="AA32" s="41"/>
      <c r="AB32" s="114"/>
    </row>
    <row r="33" spans="1:28" s="28" customFormat="1" ht="20.100000000000001" customHeight="1">
      <c r="A33" s="129"/>
      <c r="B33" s="139"/>
      <c r="C33" s="79"/>
      <c r="D33" s="85"/>
      <c r="E33" s="86"/>
      <c r="F33" s="87"/>
      <c r="G33" s="85"/>
      <c r="H33" s="86"/>
      <c r="I33" s="87"/>
      <c r="J33" s="138"/>
      <c r="K33" s="137"/>
      <c r="L33" s="134"/>
      <c r="M33" s="136"/>
      <c r="N33" s="135"/>
      <c r="O33" s="135"/>
      <c r="P33" s="134"/>
      <c r="Q33" s="133"/>
      <c r="R33" s="133"/>
      <c r="S33" s="132"/>
      <c r="T33" s="131"/>
      <c r="U33" s="130"/>
      <c r="V33" s="26"/>
      <c r="W33" s="26"/>
      <c r="X33" s="26"/>
      <c r="Y33" s="26"/>
      <c r="Z33" s="27"/>
      <c r="AA33" s="41"/>
      <c r="AB33" s="114"/>
    </row>
    <row r="34" spans="1:28" s="28" customFormat="1" ht="20.100000000000001" customHeight="1">
      <c r="A34" s="129"/>
      <c r="B34" s="139"/>
      <c r="C34" s="79"/>
      <c r="D34" s="85"/>
      <c r="E34" s="86"/>
      <c r="F34" s="87"/>
      <c r="G34" s="85"/>
      <c r="H34" s="86"/>
      <c r="I34" s="87"/>
      <c r="J34" s="138"/>
      <c r="K34" s="137"/>
      <c r="L34" s="134"/>
      <c r="M34" s="136"/>
      <c r="N34" s="135"/>
      <c r="O34" s="135"/>
      <c r="P34" s="134"/>
      <c r="Q34" s="133"/>
      <c r="R34" s="133"/>
      <c r="S34" s="132"/>
      <c r="T34" s="131"/>
      <c r="U34" s="130"/>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133"/>
      <c r="R35" s="133"/>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133"/>
      <c r="R36" s="133"/>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133"/>
      <c r="R37" s="133"/>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9" customFormat="1" ht="20.100000000000001" customHeight="1">
      <c r="A48" s="14"/>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42"/>
    </row>
    <row r="49" spans="1:28" s="28" customFormat="1" ht="20.100000000000001" customHeight="1">
      <c r="A49" s="129"/>
      <c r="B49" s="128"/>
      <c r="C49" s="127"/>
      <c r="D49" s="126"/>
      <c r="E49" s="125"/>
      <c r="F49" s="124"/>
      <c r="G49" s="126"/>
      <c r="H49" s="125"/>
      <c r="I49" s="124"/>
      <c r="J49" s="123"/>
      <c r="K49" s="122"/>
      <c r="L49" s="119"/>
      <c r="M49" s="121"/>
      <c r="N49" s="120"/>
      <c r="O49" s="120"/>
      <c r="P49" s="119"/>
      <c r="Q49" s="118"/>
      <c r="R49" s="118"/>
      <c r="S49" s="117"/>
      <c r="T49" s="116"/>
      <c r="U49" s="115"/>
      <c r="V49" s="26"/>
      <c r="W49" s="26"/>
      <c r="X49" s="26"/>
      <c r="Y49" s="26"/>
      <c r="Z49" s="27"/>
      <c r="AA49" s="41"/>
      <c r="AB49" s="114"/>
    </row>
    <row r="50" spans="1:28" ht="20.100000000000001" customHeight="1">
      <c r="B50" s="109"/>
      <c r="C50" s="113"/>
      <c r="D50" s="2715" t="s">
        <v>18</v>
      </c>
      <c r="E50" s="2671"/>
      <c r="F50" s="2671"/>
      <c r="G50" s="2671"/>
      <c r="H50" s="2671"/>
      <c r="I50" s="2672"/>
      <c r="J50" s="2723" t="e">
        <f>VLOOKUP(A52,#REF!,6,FALSE)</f>
        <v>#REF!</v>
      </c>
      <c r="K50" s="2695"/>
      <c r="L50" s="112" t="e">
        <f>VLOOKUP(A52,#REF!,4,FALSE)</f>
        <v>#REF!</v>
      </c>
      <c r="M50" s="2724" t="s">
        <v>19</v>
      </c>
      <c r="N50" s="2697"/>
      <c r="O50" s="2697"/>
      <c r="P50" s="2697"/>
      <c r="Q50" s="2698"/>
      <c r="R50" s="111">
        <f>SUM(R14:R49)</f>
        <v>1418.3</v>
      </c>
      <c r="S50" s="110" t="e">
        <f>L50</f>
        <v>#REF!</v>
      </c>
      <c r="T50" s="106"/>
      <c r="U50" s="105"/>
    </row>
    <row r="51" spans="1:28" ht="20.100000000000001" customHeight="1">
      <c r="B51" s="104"/>
      <c r="C51" s="97"/>
      <c r="D51" s="2731" t="s">
        <v>20</v>
      </c>
      <c r="E51" s="2732"/>
      <c r="F51" s="2732"/>
      <c r="G51" s="2732"/>
      <c r="H51" s="2732"/>
      <c r="I51" s="2733"/>
      <c r="J51" s="2734" t="e">
        <f>R50/J50</f>
        <v>#REF!</v>
      </c>
      <c r="K51" s="2735"/>
      <c r="L51" s="2736"/>
      <c r="M51" s="2720" t="s">
        <v>21</v>
      </c>
      <c r="N51" s="2721"/>
      <c r="O51" s="2721"/>
      <c r="P51" s="2721"/>
      <c r="Q51" s="2722"/>
      <c r="R51" s="108">
        <f>SUM(R14:R29)</f>
        <v>1418.3</v>
      </c>
      <c r="S51" s="107" t="e">
        <f>L50</f>
        <v>#REF!</v>
      </c>
      <c r="T51" s="101"/>
      <c r="U51" s="100"/>
    </row>
    <row r="52" spans="1:28" ht="20.100000000000001" customHeight="1">
      <c r="A52" s="12" t="s">
        <v>175</v>
      </c>
      <c r="B52" s="104"/>
      <c r="C52" s="73"/>
      <c r="D52" s="2715"/>
      <c r="E52" s="2671"/>
      <c r="F52" s="2671"/>
      <c r="G52" s="2671"/>
      <c r="H52" s="2671"/>
      <c r="I52" s="2672"/>
      <c r="J52" s="2725"/>
      <c r="K52" s="2702"/>
      <c r="L52" s="2704"/>
      <c r="M52" s="2724" t="s">
        <v>22</v>
      </c>
      <c r="N52" s="2697"/>
      <c r="O52" s="2697"/>
      <c r="P52" s="2697"/>
      <c r="Q52" s="2698"/>
      <c r="R52" s="199">
        <f>R50-R51</f>
        <v>0</v>
      </c>
      <c r="S52" s="198" t="e">
        <f>L50</f>
        <v>#REF!</v>
      </c>
      <c r="T52" s="101"/>
      <c r="U52" s="100"/>
    </row>
  </sheetData>
  <mergeCells count="33">
    <mergeCell ref="C11:L11"/>
    <mergeCell ref="K12:K13"/>
    <mergeCell ref="B1:U5"/>
    <mergeCell ref="V5:AA5"/>
    <mergeCell ref="D51:I52"/>
    <mergeCell ref="J51:K52"/>
    <mergeCell ref="L51:L52"/>
    <mergeCell ref="M51:Q51"/>
    <mergeCell ref="M52:Q52"/>
    <mergeCell ref="D50:I50"/>
    <mergeCell ref="J50:K50"/>
    <mergeCell ref="M50:Q50"/>
    <mergeCell ref="N12:N13"/>
    <mergeCell ref="O12:O13"/>
    <mergeCell ref="Q12:Q13"/>
    <mergeCell ref="P12:P13"/>
    <mergeCell ref="M12:M13"/>
    <mergeCell ref="U12:U13"/>
    <mergeCell ref="D13:F13"/>
    <mergeCell ref="G13:I13"/>
    <mergeCell ref="R12:R13"/>
    <mergeCell ref="S12:S13"/>
    <mergeCell ref="T12:T13"/>
    <mergeCell ref="B12:B13"/>
    <mergeCell ref="C12:C13"/>
    <mergeCell ref="D12:I12"/>
    <mergeCell ref="J12:J13"/>
    <mergeCell ref="L12:L13"/>
    <mergeCell ref="B6:J6"/>
    <mergeCell ref="K6:U6"/>
    <mergeCell ref="T8:U8"/>
    <mergeCell ref="T9:U9"/>
    <mergeCell ref="T10:U10"/>
  </mergeCells>
  <conditionalFormatting sqref="J51:K52">
    <cfRule type="cellIs" dxfId="27" priority="1" operator="greaterThanOrEqual">
      <formula>1</formula>
    </cfRule>
    <cfRule type="cellIs" dxfId="26" priority="2" operator="greaterThan">
      <formula>100%</formula>
    </cfRule>
  </conditionalFormatting>
  <printOptions horizontalCentered="1"/>
  <pageMargins left="0.39370078740157483" right="0.39370078740157483" top="0.78740157480314965" bottom="0.78740157480314965" header="0" footer="0.19685039370078741"/>
  <pageSetup paperSize="9" scale="46"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336600"/>
    <pageSetUpPr fitToPage="1"/>
  </sheetPr>
  <dimension ref="A1:AJ52"/>
  <sheetViews>
    <sheetView showGridLines="0" view="pageBreakPreview" topLeftCell="A10" zoomScale="60" zoomScaleNormal="100" workbookViewId="0">
      <selection activeCell="R40" sqref="R40"/>
    </sheetView>
  </sheetViews>
  <sheetFormatPr defaultRowHeight="12.75"/>
  <cols>
    <col min="1" max="1" width="9.140625" style="12"/>
    <col min="2" max="2" width="14.2851562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1" width="16.140625" style="8" customWidth="1"/>
    <col min="12" max="15" width="15.7109375" style="8" customWidth="1"/>
    <col min="16" max="16" width="17.140625" style="8" customWidth="1"/>
    <col min="17" max="17" width="15.7109375" style="8" customWidth="1"/>
    <col min="18" max="18" width="16" style="8" customWidth="1"/>
    <col min="19" max="19" width="9" style="8" customWidth="1"/>
    <col min="20" max="20" width="15.7109375" style="8" customWidth="1"/>
    <col min="21" max="21" width="40" style="8" customWidth="1"/>
    <col min="22" max="27" width="9.140625" style="8"/>
    <col min="28" max="28" width="12.7109375" style="15" customWidth="1"/>
    <col min="29" max="16384" width="9.140625" style="8"/>
  </cols>
  <sheetData>
    <row r="1" spans="1:36" ht="18.75" customHeight="1">
      <c r="B1" s="2652" t="s">
        <v>212</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655" t="s">
        <v>9</v>
      </c>
      <c r="C6" s="2656"/>
      <c r="D6" s="2656"/>
      <c r="E6" s="2656"/>
      <c r="F6" s="2656"/>
      <c r="G6" s="2656"/>
      <c r="H6" s="2656"/>
      <c r="I6" s="2657"/>
      <c r="J6" s="238"/>
      <c r="K6" s="2649" t="s">
        <v>10</v>
      </c>
      <c r="L6" s="2650"/>
      <c r="M6" s="2650"/>
      <c r="N6" s="2650"/>
      <c r="O6" s="2650"/>
      <c r="P6" s="2650"/>
      <c r="Q6" s="2650"/>
      <c r="R6" s="2650"/>
      <c r="S6" s="2650"/>
      <c r="T6" s="2650"/>
      <c r="U6" s="2651"/>
      <c r="V6" s="99"/>
      <c r="W6" s="99"/>
      <c r="X6" s="99"/>
      <c r="Y6" s="99"/>
      <c r="Z6" s="99"/>
      <c r="AA6" s="99"/>
      <c r="AB6" s="17"/>
    </row>
    <row r="7" spans="1:36" s="20" customFormat="1" ht="15.75">
      <c r="A7" s="19"/>
      <c r="B7" s="152" t="s">
        <v>96</v>
      </c>
      <c r="C7" s="149" t="e">
        <f>#REF!</f>
        <v>#REF!</v>
      </c>
      <c r="D7" s="145"/>
      <c r="E7" s="92"/>
      <c r="F7" s="92"/>
      <c r="G7" s="145"/>
      <c r="H7" s="92"/>
      <c r="I7" s="92"/>
      <c r="J7" s="200"/>
      <c r="K7" s="151" t="s">
        <v>190</v>
      </c>
      <c r="L7" s="94"/>
      <c r="M7" s="93"/>
      <c r="N7" s="93"/>
      <c r="O7" s="93"/>
      <c r="P7" s="93"/>
      <c r="Q7" s="93"/>
      <c r="R7" s="93"/>
      <c r="S7" s="94"/>
      <c r="T7" s="94"/>
      <c r="U7" s="95"/>
      <c r="AB7" s="21"/>
    </row>
    <row r="8" spans="1:36" s="20" customFormat="1" ht="15.75">
      <c r="A8" s="19"/>
      <c r="B8" s="148" t="s">
        <v>79</v>
      </c>
      <c r="C8" s="149" t="e">
        <f>#REF!</f>
        <v>#REF!</v>
      </c>
      <c r="D8" s="145"/>
      <c r="E8" s="92"/>
      <c r="F8" s="92"/>
      <c r="G8" s="145"/>
      <c r="H8" s="92"/>
      <c r="I8" s="92"/>
      <c r="J8" s="144"/>
      <c r="K8" s="146" t="s">
        <v>191</v>
      </c>
      <c r="L8" s="145"/>
      <c r="M8" s="145"/>
      <c r="N8" s="96"/>
      <c r="O8" s="96"/>
      <c r="P8" s="96"/>
      <c r="Q8" s="96"/>
      <c r="R8" s="96"/>
      <c r="S8" s="145"/>
      <c r="T8" s="2647"/>
      <c r="U8" s="2648"/>
      <c r="AB8" s="21"/>
    </row>
    <row r="9" spans="1:36" s="20" customFormat="1" ht="15.75">
      <c r="A9" s="19"/>
      <c r="B9" s="148" t="s">
        <v>11</v>
      </c>
      <c r="C9" s="147" t="e">
        <f>VLOOKUP(B9,[0]!_xlnm.Print_Area,2,FALSE)</f>
        <v>#REF!</v>
      </c>
      <c r="D9" s="145"/>
      <c r="E9" s="92"/>
      <c r="F9" s="92"/>
      <c r="G9" s="145"/>
      <c r="H9" s="92"/>
      <c r="I9" s="92"/>
      <c r="J9" s="144"/>
      <c r="K9" s="146" t="s">
        <v>192</v>
      </c>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147" t="e">
        <f>VLOOKUP(B10,[0]!_xlnm.Print_Area,2,FALSE)</f>
        <v>#REF!</v>
      </c>
      <c r="D10" s="145"/>
      <c r="E10" s="92"/>
      <c r="F10" s="92"/>
      <c r="G10" s="145"/>
      <c r="H10" s="92"/>
      <c r="I10" s="92"/>
      <c r="J10" s="201"/>
      <c r="K10" s="146" t="s">
        <v>193</v>
      </c>
      <c r="L10" s="92"/>
      <c r="M10" s="92"/>
      <c r="N10" s="92"/>
      <c r="O10" s="92"/>
      <c r="P10" s="202"/>
      <c r="Q10" s="92"/>
      <c r="R10" s="92"/>
      <c r="S10" s="92"/>
      <c r="T10" s="2660"/>
      <c r="U10" s="2661"/>
      <c r="AA10" s="22"/>
      <c r="AB10" s="22"/>
      <c r="AC10" s="22"/>
      <c r="AD10" s="22"/>
      <c r="AE10" s="22"/>
      <c r="AF10" s="22"/>
      <c r="AG10" s="22"/>
      <c r="AH10" s="22"/>
      <c r="AI10" s="22"/>
      <c r="AJ10" s="22"/>
    </row>
    <row r="11" spans="1:36" s="29" customFormat="1" ht="21" customHeight="1">
      <c r="A11" s="23"/>
      <c r="B11" s="143" t="str">
        <f>LEFT(A52,1)</f>
        <v>7</v>
      </c>
      <c r="C11" s="2662" t="e">
        <f>VLOOKUP(B11,#REF!,3,FALSE)</f>
        <v>#REF!</v>
      </c>
      <c r="D11" s="2663"/>
      <c r="E11" s="2663"/>
      <c r="F11" s="2663"/>
      <c r="G11" s="2663"/>
      <c r="H11" s="2663"/>
      <c r="I11" s="2663"/>
      <c r="J11" s="2663"/>
      <c r="K11" s="2663"/>
      <c r="L11" s="2663"/>
      <c r="M11" s="207"/>
      <c r="N11" s="207"/>
      <c r="O11" s="207"/>
      <c r="P11" s="207"/>
      <c r="Q11" s="207"/>
      <c r="R11" s="207"/>
      <c r="S11" s="207"/>
      <c r="T11" s="207"/>
      <c r="U11" s="208"/>
      <c r="V11" s="26"/>
      <c r="W11" s="26"/>
      <c r="X11" s="26"/>
      <c r="Y11" s="26"/>
      <c r="Z11" s="27"/>
      <c r="AA11" s="28"/>
      <c r="AB11" s="28"/>
      <c r="AC11" s="28"/>
      <c r="AD11" s="28"/>
      <c r="AE11" s="28"/>
      <c r="AF11" s="28"/>
      <c r="AG11" s="28"/>
      <c r="AH11" s="28"/>
      <c r="AI11" s="28"/>
      <c r="AJ11" s="28"/>
    </row>
    <row r="12" spans="1:36" s="29" customFormat="1" ht="24.95" customHeight="1">
      <c r="A12" s="23"/>
      <c r="B12" s="2664" t="e">
        <f>VLOOKUP(A52,#REF!,2,FALSE)</f>
        <v>#REF!</v>
      </c>
      <c r="C12" s="2665" t="e">
        <f>VLOOKUP(A52,#REF!,3,FALSE)</f>
        <v>#REF!</v>
      </c>
      <c r="D12" s="2666" t="s">
        <v>97</v>
      </c>
      <c r="E12" s="2666"/>
      <c r="F12" s="2666"/>
      <c r="G12" s="2666"/>
      <c r="H12" s="2666"/>
      <c r="I12" s="2666"/>
      <c r="J12" s="2668" t="s">
        <v>98</v>
      </c>
      <c r="K12" s="2668" t="s">
        <v>102</v>
      </c>
      <c r="L12" s="2668" t="s">
        <v>220</v>
      </c>
      <c r="M12" s="2668" t="s">
        <v>113</v>
      </c>
      <c r="N12" s="2668" t="s">
        <v>112</v>
      </c>
      <c r="O12" s="2668" t="s">
        <v>221</v>
      </c>
      <c r="P12" s="2668" t="s">
        <v>219</v>
      </c>
      <c r="Q12" s="2668" t="s">
        <v>16</v>
      </c>
      <c r="R12" s="2668" t="s">
        <v>2</v>
      </c>
      <c r="S12" s="2668" t="s">
        <v>99</v>
      </c>
      <c r="T12" s="2668" t="s">
        <v>17</v>
      </c>
      <c r="U12" s="2667"/>
      <c r="V12" s="26"/>
      <c r="W12" s="26"/>
      <c r="X12" s="26"/>
      <c r="Y12" s="26"/>
      <c r="Z12" s="27"/>
      <c r="AA12" s="28"/>
      <c r="AB12" s="28"/>
      <c r="AC12" s="28"/>
      <c r="AD12" s="28"/>
      <c r="AE12" s="28"/>
      <c r="AF12" s="28"/>
      <c r="AG12" s="28"/>
      <c r="AH12" s="28"/>
      <c r="AI12" s="28"/>
      <c r="AJ12" s="28"/>
    </row>
    <row r="13" spans="1:36" s="29" customFormat="1" ht="24.95" customHeight="1">
      <c r="A13" s="23"/>
      <c r="B13" s="2664"/>
      <c r="C13" s="2665"/>
      <c r="D13" s="2669" t="s">
        <v>14</v>
      </c>
      <c r="E13" s="2669"/>
      <c r="F13" s="2669"/>
      <c r="G13" s="2667" t="s">
        <v>15</v>
      </c>
      <c r="H13" s="2667"/>
      <c r="I13" s="2667"/>
      <c r="J13" s="2417"/>
      <c r="K13" s="2417"/>
      <c r="L13" s="2417"/>
      <c r="M13" s="2417"/>
      <c r="N13" s="2417"/>
      <c r="O13" s="2417"/>
      <c r="P13" s="2417"/>
      <c r="Q13" s="2417"/>
      <c r="R13" s="2417"/>
      <c r="S13" s="2417"/>
      <c r="T13" s="2417"/>
      <c r="U13" s="2667"/>
      <c r="V13" s="26"/>
      <c r="W13" s="26"/>
      <c r="X13" s="26"/>
      <c r="Y13" s="26"/>
      <c r="Z13" s="27"/>
      <c r="AA13" s="28"/>
      <c r="AB13" s="28"/>
      <c r="AC13" s="28"/>
      <c r="AD13" s="28"/>
      <c r="AE13" s="28"/>
      <c r="AF13" s="28"/>
      <c r="AG13" s="28"/>
      <c r="AH13" s="28"/>
      <c r="AI13" s="28"/>
      <c r="AJ13" s="28"/>
    </row>
    <row r="14" spans="1:36" s="9" customFormat="1" ht="20.100000000000001" customHeight="1">
      <c r="A14" s="14"/>
      <c r="B14" s="57"/>
      <c r="C14" s="58" t="s">
        <v>200</v>
      </c>
      <c r="D14" s="82">
        <v>104</v>
      </c>
      <c r="E14" s="44" t="s">
        <v>68</v>
      </c>
      <c r="F14" s="83">
        <v>10</v>
      </c>
      <c r="G14" s="82">
        <v>114</v>
      </c>
      <c r="H14" s="44" t="s">
        <v>68</v>
      </c>
      <c r="I14" s="83">
        <v>0</v>
      </c>
      <c r="J14" s="46" t="s">
        <v>69</v>
      </c>
      <c r="K14" s="171">
        <v>186</v>
      </c>
      <c r="L14" s="226"/>
      <c r="M14" s="171"/>
      <c r="N14" s="171"/>
      <c r="O14" s="216"/>
      <c r="P14" s="226"/>
      <c r="Q14" s="216"/>
      <c r="R14" s="88">
        <f>K14</f>
        <v>186</v>
      </c>
      <c r="S14" s="54" t="s">
        <v>8</v>
      </c>
      <c r="T14" s="141" t="s">
        <v>80</v>
      </c>
      <c r="U14" s="39" t="s">
        <v>109</v>
      </c>
      <c r="V14" s="26"/>
      <c r="W14" s="26"/>
      <c r="X14" s="26"/>
      <c r="Y14" s="26"/>
      <c r="Z14" s="27"/>
    </row>
    <row r="15" spans="1:36" s="9" customFormat="1" ht="20.100000000000001" customHeight="1">
      <c r="A15" s="14"/>
      <c r="B15" s="57"/>
      <c r="C15" s="58" t="s">
        <v>202</v>
      </c>
      <c r="D15" s="82">
        <v>104</v>
      </c>
      <c r="E15" s="44" t="s">
        <v>68</v>
      </c>
      <c r="F15" s="83">
        <v>10</v>
      </c>
      <c r="G15" s="82">
        <v>111</v>
      </c>
      <c r="H15" s="44" t="s">
        <v>68</v>
      </c>
      <c r="I15" s="83">
        <v>7</v>
      </c>
      <c r="J15" s="46" t="s">
        <v>214</v>
      </c>
      <c r="K15" s="48">
        <v>86.74</v>
      </c>
      <c r="L15" s="227"/>
      <c r="M15" s="48"/>
      <c r="N15" s="48"/>
      <c r="O15" s="180"/>
      <c r="P15" s="227"/>
      <c r="Q15" s="180"/>
      <c r="R15" s="168">
        <f t="shared" ref="R15:R33" si="0">K15</f>
        <v>86.74</v>
      </c>
      <c r="S15" s="54" t="s">
        <v>8</v>
      </c>
      <c r="T15" s="141" t="s">
        <v>80</v>
      </c>
      <c r="U15" s="39" t="s">
        <v>109</v>
      </c>
      <c r="V15" s="26"/>
      <c r="W15" s="26"/>
      <c r="X15" s="26"/>
      <c r="Y15" s="26"/>
      <c r="Z15" s="27"/>
      <c r="AA15" s="41"/>
      <c r="AB15" s="42"/>
    </row>
    <row r="16" spans="1:36" s="9" customFormat="1" ht="20.100000000000001" customHeight="1">
      <c r="A16" s="14"/>
      <c r="B16" s="57"/>
      <c r="C16" s="58" t="s">
        <v>202</v>
      </c>
      <c r="D16" s="82">
        <v>104</v>
      </c>
      <c r="E16" s="44" t="s">
        <v>68</v>
      </c>
      <c r="F16" s="83">
        <v>10</v>
      </c>
      <c r="G16" s="82">
        <v>111</v>
      </c>
      <c r="H16" s="44" t="s">
        <v>68</v>
      </c>
      <c r="I16" s="83">
        <v>7</v>
      </c>
      <c r="J16" s="46" t="s">
        <v>215</v>
      </c>
      <c r="K16" s="48">
        <v>88.05</v>
      </c>
      <c r="L16" s="227"/>
      <c r="M16" s="48"/>
      <c r="N16" s="48"/>
      <c r="O16" s="180"/>
      <c r="P16" s="227"/>
      <c r="Q16" s="180"/>
      <c r="R16" s="168">
        <f t="shared" si="0"/>
        <v>88.05</v>
      </c>
      <c r="S16" s="54" t="s">
        <v>8</v>
      </c>
      <c r="T16" s="141" t="s">
        <v>80</v>
      </c>
      <c r="U16" s="39" t="s">
        <v>109</v>
      </c>
      <c r="V16" s="26"/>
      <c r="W16" s="26"/>
      <c r="X16" s="26"/>
      <c r="Y16" s="26"/>
      <c r="Z16" s="27"/>
      <c r="AA16" s="41"/>
      <c r="AB16" s="42"/>
    </row>
    <row r="17" spans="1:28" s="234" customFormat="1" ht="20.100000000000001" customHeight="1">
      <c r="A17" s="228"/>
      <c r="B17" s="229"/>
      <c r="C17" s="58" t="s">
        <v>202</v>
      </c>
      <c r="D17" s="82">
        <v>113</v>
      </c>
      <c r="E17" s="44" t="s">
        <v>68</v>
      </c>
      <c r="F17" s="83">
        <v>13</v>
      </c>
      <c r="G17" s="82">
        <v>116</v>
      </c>
      <c r="H17" s="44" t="s">
        <v>68</v>
      </c>
      <c r="I17" s="83">
        <v>0</v>
      </c>
      <c r="J17" s="46" t="s">
        <v>214</v>
      </c>
      <c r="K17" s="48">
        <v>45.57</v>
      </c>
      <c r="L17" s="227"/>
      <c r="M17" s="48"/>
      <c r="N17" s="48"/>
      <c r="O17" s="180"/>
      <c r="P17" s="227"/>
      <c r="Q17" s="180"/>
      <c r="R17" s="168">
        <f t="shared" si="0"/>
        <v>45.57</v>
      </c>
      <c r="S17" s="54" t="s">
        <v>8</v>
      </c>
      <c r="T17" s="141" t="s">
        <v>80</v>
      </c>
      <c r="U17" s="39" t="s">
        <v>109</v>
      </c>
      <c r="V17" s="230"/>
      <c r="W17" s="230"/>
      <c r="X17" s="230"/>
      <c r="Y17" s="230"/>
      <c r="Z17" s="231"/>
      <c r="AA17" s="232"/>
      <c r="AB17" s="233"/>
    </row>
    <row r="18" spans="1:28" s="234" customFormat="1" ht="20.100000000000001" customHeight="1">
      <c r="A18" s="228"/>
      <c r="B18" s="229"/>
      <c r="C18" s="58" t="s">
        <v>202</v>
      </c>
      <c r="D18" s="82">
        <v>114</v>
      </c>
      <c r="E18" s="44" t="s">
        <v>68</v>
      </c>
      <c r="F18" s="83">
        <v>13</v>
      </c>
      <c r="G18" s="82">
        <v>116</v>
      </c>
      <c r="H18" s="44" t="s">
        <v>68</v>
      </c>
      <c r="I18" s="83">
        <v>1</v>
      </c>
      <c r="J18" s="46" t="s">
        <v>214</v>
      </c>
      <c r="K18" s="48">
        <v>45.68</v>
      </c>
      <c r="L18" s="227"/>
      <c r="M18" s="48"/>
      <c r="N18" s="48"/>
      <c r="O18" s="180"/>
      <c r="P18" s="227"/>
      <c r="Q18" s="180"/>
      <c r="R18" s="168">
        <f t="shared" si="0"/>
        <v>45.68</v>
      </c>
      <c r="S18" s="54" t="s">
        <v>8</v>
      </c>
      <c r="T18" s="141" t="s">
        <v>80</v>
      </c>
      <c r="U18" s="39" t="s">
        <v>109</v>
      </c>
      <c r="V18" s="230"/>
      <c r="W18" s="230"/>
      <c r="X18" s="230"/>
      <c r="Y18" s="230"/>
      <c r="Z18" s="231"/>
      <c r="AA18" s="232"/>
      <c r="AB18" s="233"/>
    </row>
    <row r="19" spans="1:28" s="28" customFormat="1" ht="20.100000000000001" customHeight="1">
      <c r="A19" s="129"/>
      <c r="B19" s="139"/>
      <c r="C19" s="58" t="s">
        <v>202</v>
      </c>
      <c r="D19" s="82">
        <v>104</v>
      </c>
      <c r="E19" s="44" t="s">
        <v>68</v>
      </c>
      <c r="F19" s="83">
        <v>10</v>
      </c>
      <c r="G19" s="82">
        <v>109</v>
      </c>
      <c r="H19" s="44" t="s">
        <v>68</v>
      </c>
      <c r="I19" s="83">
        <v>4.3</v>
      </c>
      <c r="J19" s="46" t="s">
        <v>215</v>
      </c>
      <c r="K19" s="49">
        <v>94.3</v>
      </c>
      <c r="L19" s="48"/>
      <c r="M19" s="49"/>
      <c r="N19" s="50"/>
      <c r="O19" s="50"/>
      <c r="P19" s="48"/>
      <c r="Q19" s="53"/>
      <c r="R19" s="168">
        <f t="shared" si="0"/>
        <v>94.3</v>
      </c>
      <c r="S19" s="54" t="s">
        <v>8</v>
      </c>
      <c r="T19" s="141" t="s">
        <v>83</v>
      </c>
      <c r="U19" s="39" t="s">
        <v>109</v>
      </c>
      <c r="V19" s="26"/>
      <c r="W19" s="26"/>
      <c r="X19" s="26"/>
      <c r="Y19" s="26"/>
      <c r="Z19" s="27"/>
      <c r="AA19" s="41"/>
      <c r="AB19" s="114"/>
    </row>
    <row r="20" spans="1:28" s="28" customFormat="1" ht="20.100000000000001" customHeight="1">
      <c r="A20" s="129"/>
      <c r="B20" s="139"/>
      <c r="C20" s="58" t="s">
        <v>202</v>
      </c>
      <c r="D20" s="82">
        <v>104</v>
      </c>
      <c r="E20" s="44" t="s">
        <v>68</v>
      </c>
      <c r="F20" s="83">
        <v>10</v>
      </c>
      <c r="G20" s="82">
        <v>109</v>
      </c>
      <c r="H20" s="44" t="s">
        <v>68</v>
      </c>
      <c r="I20" s="83">
        <v>5.15</v>
      </c>
      <c r="J20" s="46" t="s">
        <v>214</v>
      </c>
      <c r="K20" s="49">
        <v>95.15</v>
      </c>
      <c r="L20" s="48"/>
      <c r="M20" s="49"/>
      <c r="N20" s="50"/>
      <c r="O20" s="50"/>
      <c r="P20" s="48"/>
      <c r="Q20" s="53"/>
      <c r="R20" s="168">
        <f t="shared" si="0"/>
        <v>95.15</v>
      </c>
      <c r="S20" s="54" t="s">
        <v>8</v>
      </c>
      <c r="T20" s="141" t="s">
        <v>83</v>
      </c>
      <c r="U20" s="39" t="s">
        <v>109</v>
      </c>
      <c r="V20" s="26"/>
      <c r="W20" s="26"/>
      <c r="X20" s="26"/>
      <c r="Y20" s="26"/>
      <c r="Z20" s="27"/>
      <c r="AA20" s="41"/>
      <c r="AB20" s="114"/>
    </row>
    <row r="21" spans="1:28" s="28" customFormat="1" ht="20.100000000000001" customHeight="1">
      <c r="A21" s="129"/>
      <c r="B21" s="139"/>
      <c r="C21" s="58" t="s">
        <v>216</v>
      </c>
      <c r="D21" s="82">
        <v>302</v>
      </c>
      <c r="E21" s="44" t="s">
        <v>68</v>
      </c>
      <c r="F21" s="83">
        <v>10</v>
      </c>
      <c r="G21" s="82">
        <v>302</v>
      </c>
      <c r="H21" s="44" t="s">
        <v>68</v>
      </c>
      <c r="I21" s="83">
        <v>10</v>
      </c>
      <c r="J21" s="46" t="s">
        <v>105</v>
      </c>
      <c r="K21" s="49">
        <v>11.78</v>
      </c>
      <c r="L21" s="48"/>
      <c r="M21" s="49"/>
      <c r="N21" s="50"/>
      <c r="O21" s="50"/>
      <c r="P21" s="48"/>
      <c r="Q21" s="53"/>
      <c r="R21" s="168">
        <f t="shared" si="0"/>
        <v>11.78</v>
      </c>
      <c r="S21" s="54" t="s">
        <v>8</v>
      </c>
      <c r="T21" s="141" t="s">
        <v>83</v>
      </c>
      <c r="U21" s="39" t="s">
        <v>109</v>
      </c>
      <c r="V21" s="26"/>
      <c r="W21" s="26"/>
      <c r="X21" s="26"/>
      <c r="Y21" s="26"/>
      <c r="Z21" s="27"/>
      <c r="AA21" s="41"/>
      <c r="AB21" s="114"/>
    </row>
    <row r="22" spans="1:28" s="28" customFormat="1" ht="20.100000000000001" customHeight="1">
      <c r="A22" s="129"/>
      <c r="B22" s="139"/>
      <c r="C22" s="58" t="s">
        <v>200</v>
      </c>
      <c r="D22" s="82">
        <v>113</v>
      </c>
      <c r="E22" s="44" t="s">
        <v>68</v>
      </c>
      <c r="F22" s="83">
        <v>0</v>
      </c>
      <c r="G22" s="82">
        <v>114</v>
      </c>
      <c r="H22" s="44" t="s">
        <v>68</v>
      </c>
      <c r="I22" s="83">
        <v>4</v>
      </c>
      <c r="J22" s="46" t="s">
        <v>69</v>
      </c>
      <c r="K22" s="211">
        <v>4.7</v>
      </c>
      <c r="L22" s="48"/>
      <c r="M22" s="49"/>
      <c r="N22" s="50"/>
      <c r="O22" s="50"/>
      <c r="P22" s="48"/>
      <c r="Q22" s="53"/>
      <c r="R22" s="53">
        <f t="shared" si="0"/>
        <v>4.7</v>
      </c>
      <c r="S22" s="54" t="s">
        <v>8</v>
      </c>
      <c r="T22" s="141" t="s">
        <v>88</v>
      </c>
      <c r="U22" s="39" t="s">
        <v>109</v>
      </c>
      <c r="V22" s="26"/>
      <c r="W22" s="26"/>
      <c r="X22" s="26"/>
      <c r="Y22" s="26"/>
      <c r="Z22" s="27"/>
      <c r="AA22" s="41"/>
      <c r="AB22" s="114"/>
    </row>
    <row r="23" spans="1:28" s="28" customFormat="1" ht="20.100000000000001" customHeight="1">
      <c r="A23" s="129"/>
      <c r="B23" s="139"/>
      <c r="C23" s="58" t="s">
        <v>200</v>
      </c>
      <c r="D23" s="82">
        <v>114</v>
      </c>
      <c r="E23" s="44" t="s">
        <v>68</v>
      </c>
      <c r="F23" s="83">
        <v>7</v>
      </c>
      <c r="G23" s="82">
        <v>117</v>
      </c>
      <c r="H23" s="44" t="s">
        <v>68</v>
      </c>
      <c r="I23" s="83">
        <v>14</v>
      </c>
      <c r="J23" s="46" t="s">
        <v>69</v>
      </c>
      <c r="K23" s="47">
        <v>70.2</v>
      </c>
      <c r="L23" s="48"/>
      <c r="M23" s="49"/>
      <c r="N23" s="50"/>
      <c r="O23" s="50"/>
      <c r="P23" s="48"/>
      <c r="Q23" s="53"/>
      <c r="R23" s="53">
        <f t="shared" si="0"/>
        <v>70.2</v>
      </c>
      <c r="S23" s="54" t="s">
        <v>8</v>
      </c>
      <c r="T23" s="141" t="s">
        <v>88</v>
      </c>
      <c r="U23" s="39" t="s">
        <v>109</v>
      </c>
      <c r="V23" s="26"/>
      <c r="W23" s="26"/>
      <c r="X23" s="26"/>
      <c r="Y23" s="26"/>
      <c r="Z23" s="27"/>
      <c r="AA23" s="41"/>
      <c r="AB23" s="114"/>
    </row>
    <row r="24" spans="1:28" s="28" customFormat="1" ht="20.100000000000001" customHeight="1">
      <c r="A24" s="129"/>
      <c r="B24" s="139"/>
      <c r="C24" s="58" t="s">
        <v>200</v>
      </c>
      <c r="D24" s="82">
        <v>118</v>
      </c>
      <c r="E24" s="44" t="s">
        <v>68</v>
      </c>
      <c r="F24" s="83">
        <v>5.3</v>
      </c>
      <c r="G24" s="82">
        <v>120</v>
      </c>
      <c r="H24" s="44" t="s">
        <v>68</v>
      </c>
      <c r="I24" s="83">
        <v>15.5</v>
      </c>
      <c r="J24" s="46" t="s">
        <v>69</v>
      </c>
      <c r="K24" s="47">
        <v>54.6</v>
      </c>
      <c r="L24" s="48"/>
      <c r="M24" s="49"/>
      <c r="N24" s="50"/>
      <c r="O24" s="50"/>
      <c r="P24" s="48"/>
      <c r="Q24" s="53"/>
      <c r="R24" s="53">
        <f t="shared" si="0"/>
        <v>54.6</v>
      </c>
      <c r="S24" s="54" t="s">
        <v>8</v>
      </c>
      <c r="T24" s="141" t="s">
        <v>88</v>
      </c>
      <c r="U24" s="39" t="s">
        <v>109</v>
      </c>
      <c r="V24" s="26"/>
      <c r="W24" s="26"/>
      <c r="X24" s="26"/>
      <c r="Y24" s="26"/>
      <c r="Z24" s="27"/>
      <c r="AA24" s="41"/>
      <c r="AB24" s="114"/>
    </row>
    <row r="25" spans="1:28" s="28" customFormat="1" ht="20.100000000000001" customHeight="1">
      <c r="A25" s="129"/>
      <c r="B25" s="139"/>
      <c r="C25" s="58" t="s">
        <v>200</v>
      </c>
      <c r="D25" s="82">
        <v>121</v>
      </c>
      <c r="E25" s="44" t="s">
        <v>68</v>
      </c>
      <c r="F25" s="83">
        <v>5</v>
      </c>
      <c r="G25" s="82">
        <v>122</v>
      </c>
      <c r="H25" s="44" t="s">
        <v>68</v>
      </c>
      <c r="I25" s="83">
        <v>10.5</v>
      </c>
      <c r="J25" s="46" t="s">
        <v>69</v>
      </c>
      <c r="K25" s="47">
        <v>28.7</v>
      </c>
      <c r="L25" s="48"/>
      <c r="M25" s="49"/>
      <c r="N25" s="50"/>
      <c r="O25" s="50"/>
      <c r="P25" s="48"/>
      <c r="Q25" s="53"/>
      <c r="R25" s="53">
        <f t="shared" si="0"/>
        <v>28.7</v>
      </c>
      <c r="S25" s="54" t="s">
        <v>8</v>
      </c>
      <c r="T25" s="141" t="s">
        <v>88</v>
      </c>
      <c r="U25" s="39" t="s">
        <v>109</v>
      </c>
      <c r="V25" s="26"/>
      <c r="W25" s="26"/>
      <c r="X25" s="26"/>
      <c r="Y25" s="26"/>
      <c r="Z25" s="27"/>
      <c r="AA25" s="41"/>
      <c r="AB25" s="114"/>
    </row>
    <row r="26" spans="1:28" s="28" customFormat="1" ht="20.100000000000001" customHeight="1">
      <c r="A26" s="129"/>
      <c r="B26" s="139"/>
      <c r="C26" s="58" t="s">
        <v>200</v>
      </c>
      <c r="D26" s="82">
        <v>300</v>
      </c>
      <c r="E26" s="44" t="s">
        <v>68</v>
      </c>
      <c r="F26" s="83">
        <v>0</v>
      </c>
      <c r="G26" s="82">
        <v>302</v>
      </c>
      <c r="H26" s="44" t="s">
        <v>68</v>
      </c>
      <c r="I26" s="83">
        <v>10</v>
      </c>
      <c r="J26" s="46" t="s">
        <v>69</v>
      </c>
      <c r="K26" s="47">
        <v>54.59</v>
      </c>
      <c r="L26" s="48"/>
      <c r="M26" s="49"/>
      <c r="N26" s="50"/>
      <c r="O26" s="50"/>
      <c r="P26" s="48"/>
      <c r="Q26" s="53"/>
      <c r="R26" s="37">
        <f t="shared" si="0"/>
        <v>54.59</v>
      </c>
      <c r="S26" s="54" t="s">
        <v>8</v>
      </c>
      <c r="T26" s="141" t="s">
        <v>90</v>
      </c>
      <c r="U26" s="39" t="s">
        <v>165</v>
      </c>
      <c r="V26" s="26"/>
      <c r="W26" s="26"/>
      <c r="X26" s="26"/>
      <c r="Y26" s="26"/>
      <c r="Z26" s="27"/>
      <c r="AA26" s="41"/>
      <c r="AB26" s="114"/>
    </row>
    <row r="27" spans="1:28" s="28" customFormat="1" ht="20.100000000000001" customHeight="1">
      <c r="A27" s="129"/>
      <c r="B27" s="139"/>
      <c r="C27" s="58" t="s">
        <v>200</v>
      </c>
      <c r="D27" s="82">
        <v>303</v>
      </c>
      <c r="E27" s="44" t="s">
        <v>68</v>
      </c>
      <c r="F27" s="83">
        <v>0</v>
      </c>
      <c r="G27" s="82">
        <v>305</v>
      </c>
      <c r="H27" s="44" t="s">
        <v>68</v>
      </c>
      <c r="I27" s="83">
        <v>2</v>
      </c>
      <c r="J27" s="46" t="s">
        <v>69</v>
      </c>
      <c r="K27" s="47">
        <v>41.64</v>
      </c>
      <c r="L27" s="48"/>
      <c r="M27" s="49"/>
      <c r="N27" s="50"/>
      <c r="O27" s="50"/>
      <c r="P27" s="48"/>
      <c r="Q27" s="53"/>
      <c r="R27" s="37">
        <f t="shared" si="0"/>
        <v>41.64</v>
      </c>
      <c r="S27" s="54" t="s">
        <v>8</v>
      </c>
      <c r="T27" s="141" t="s">
        <v>90</v>
      </c>
      <c r="U27" s="39" t="s">
        <v>165</v>
      </c>
      <c r="V27" s="26"/>
      <c r="W27" s="26"/>
      <c r="X27" s="26"/>
      <c r="Y27" s="26"/>
      <c r="Z27" s="27"/>
      <c r="AA27" s="41"/>
      <c r="AB27" s="114"/>
    </row>
    <row r="28" spans="1:28" s="28" customFormat="1" ht="20.100000000000001" customHeight="1">
      <c r="A28" s="129"/>
      <c r="B28" s="139"/>
      <c r="C28" s="58" t="s">
        <v>200</v>
      </c>
      <c r="D28" s="82">
        <v>101</v>
      </c>
      <c r="E28" s="44" t="s">
        <v>68</v>
      </c>
      <c r="F28" s="83">
        <v>7</v>
      </c>
      <c r="G28" s="82">
        <v>104</v>
      </c>
      <c r="H28" s="44" t="s">
        <v>68</v>
      </c>
      <c r="I28" s="83">
        <v>0</v>
      </c>
      <c r="J28" s="46" t="s">
        <v>69</v>
      </c>
      <c r="K28" s="47">
        <v>46.3</v>
      </c>
      <c r="L28" s="48"/>
      <c r="M28" s="49"/>
      <c r="N28" s="50"/>
      <c r="O28" s="50"/>
      <c r="P28" s="48"/>
      <c r="Q28" s="53"/>
      <c r="R28" s="37">
        <f t="shared" si="0"/>
        <v>46.3</v>
      </c>
      <c r="S28" s="54" t="s">
        <v>8</v>
      </c>
      <c r="T28" s="141" t="s">
        <v>90</v>
      </c>
      <c r="U28" s="39" t="s">
        <v>165</v>
      </c>
      <c r="V28" s="26"/>
      <c r="W28" s="26"/>
      <c r="X28" s="26"/>
      <c r="Y28" s="26"/>
      <c r="Z28" s="27"/>
      <c r="AA28" s="41"/>
      <c r="AB28" s="114"/>
    </row>
    <row r="29" spans="1:28" s="28" customFormat="1" ht="20.100000000000001" customHeight="1">
      <c r="A29" s="129"/>
      <c r="B29" s="139"/>
      <c r="C29" s="58" t="s">
        <v>200</v>
      </c>
      <c r="D29" s="82">
        <v>219</v>
      </c>
      <c r="E29" s="44" t="s">
        <v>68</v>
      </c>
      <c r="F29" s="83">
        <v>0</v>
      </c>
      <c r="G29" s="82">
        <v>227</v>
      </c>
      <c r="H29" s="44" t="s">
        <v>68</v>
      </c>
      <c r="I29" s="83">
        <v>16</v>
      </c>
      <c r="J29" s="46" t="s">
        <v>69</v>
      </c>
      <c r="K29" s="47">
        <v>178.97</v>
      </c>
      <c r="L29" s="48"/>
      <c r="M29" s="49"/>
      <c r="N29" s="50"/>
      <c r="O29" s="50"/>
      <c r="P29" s="48"/>
      <c r="Q29" s="53"/>
      <c r="R29" s="37">
        <f t="shared" si="0"/>
        <v>178.97</v>
      </c>
      <c r="S29" s="54" t="s">
        <v>8</v>
      </c>
      <c r="T29" s="141" t="s">
        <v>90</v>
      </c>
      <c r="U29" s="39" t="s">
        <v>165</v>
      </c>
      <c r="V29" s="26"/>
      <c r="W29" s="26"/>
      <c r="X29" s="26"/>
      <c r="Y29" s="26"/>
      <c r="Z29" s="27"/>
      <c r="AA29" s="41"/>
      <c r="AB29" s="114"/>
    </row>
    <row r="30" spans="1:28" s="28" customFormat="1" ht="20.100000000000001" customHeight="1">
      <c r="A30" s="129"/>
      <c r="B30" s="139"/>
      <c r="C30" s="58" t="s">
        <v>202</v>
      </c>
      <c r="D30" s="82">
        <v>219</v>
      </c>
      <c r="E30" s="44" t="s">
        <v>68</v>
      </c>
      <c r="F30" s="83">
        <v>10</v>
      </c>
      <c r="G30" s="82">
        <v>223</v>
      </c>
      <c r="H30" s="44" t="s">
        <v>68</v>
      </c>
      <c r="I30" s="83">
        <v>10</v>
      </c>
      <c r="J30" s="46" t="s">
        <v>105</v>
      </c>
      <c r="K30" s="47">
        <v>159.72</v>
      </c>
      <c r="L30" s="48"/>
      <c r="M30" s="49"/>
      <c r="N30" s="50"/>
      <c r="O30" s="50"/>
      <c r="P30" s="48"/>
      <c r="Q30" s="53"/>
      <c r="R30" s="37">
        <f t="shared" si="0"/>
        <v>159.72</v>
      </c>
      <c r="S30" s="54" t="s">
        <v>8</v>
      </c>
      <c r="T30" s="141" t="s">
        <v>90</v>
      </c>
      <c r="U30" s="39" t="s">
        <v>165</v>
      </c>
      <c r="V30" s="26"/>
      <c r="W30" s="26"/>
      <c r="X30" s="26"/>
      <c r="Y30" s="26"/>
      <c r="Z30" s="27"/>
      <c r="AA30" s="41"/>
      <c r="AB30" s="114"/>
    </row>
    <row r="31" spans="1:28" s="28" customFormat="1" ht="20.100000000000001" customHeight="1">
      <c r="A31" s="129"/>
      <c r="B31" s="139"/>
      <c r="C31" s="58" t="s">
        <v>202</v>
      </c>
      <c r="D31" s="82">
        <v>400</v>
      </c>
      <c r="E31" s="44" t="s">
        <v>68</v>
      </c>
      <c r="F31" s="83">
        <v>0</v>
      </c>
      <c r="G31" s="82">
        <v>401</v>
      </c>
      <c r="H31" s="44" t="s">
        <v>68</v>
      </c>
      <c r="I31" s="83">
        <v>0</v>
      </c>
      <c r="J31" s="46" t="s">
        <v>69</v>
      </c>
      <c r="K31" s="47">
        <v>21.78</v>
      </c>
      <c r="L31" s="48"/>
      <c r="M31" s="49"/>
      <c r="N31" s="50"/>
      <c r="O31" s="50"/>
      <c r="P31" s="48"/>
      <c r="Q31" s="53"/>
      <c r="R31" s="37">
        <f t="shared" si="0"/>
        <v>21.78</v>
      </c>
      <c r="S31" s="54" t="s">
        <v>8</v>
      </c>
      <c r="T31" s="141" t="s">
        <v>90</v>
      </c>
      <c r="U31" s="39" t="s">
        <v>165</v>
      </c>
      <c r="V31" s="26"/>
      <c r="W31" s="26"/>
      <c r="X31" s="26"/>
      <c r="Y31" s="26"/>
      <c r="Z31" s="27"/>
      <c r="AA31" s="41"/>
      <c r="AB31" s="114"/>
    </row>
    <row r="32" spans="1:28" s="28" customFormat="1" ht="20.100000000000001" customHeight="1">
      <c r="A32" s="129"/>
      <c r="B32" s="139"/>
      <c r="C32" s="58" t="s">
        <v>202</v>
      </c>
      <c r="D32" s="82">
        <v>300</v>
      </c>
      <c r="E32" s="44" t="s">
        <v>68</v>
      </c>
      <c r="F32" s="83">
        <v>0</v>
      </c>
      <c r="G32" s="82">
        <v>302</v>
      </c>
      <c r="H32" s="44" t="s">
        <v>68</v>
      </c>
      <c r="I32" s="83">
        <v>10</v>
      </c>
      <c r="J32" s="46" t="s">
        <v>70</v>
      </c>
      <c r="K32" s="47">
        <v>58.58</v>
      </c>
      <c r="L32" s="48"/>
      <c r="M32" s="49"/>
      <c r="N32" s="50"/>
      <c r="O32" s="50"/>
      <c r="P32" s="48"/>
      <c r="Q32" s="53"/>
      <c r="R32" s="37">
        <f t="shared" si="0"/>
        <v>58.58</v>
      </c>
      <c r="S32" s="54" t="s">
        <v>8</v>
      </c>
      <c r="T32" s="141" t="s">
        <v>90</v>
      </c>
      <c r="U32" s="39" t="s">
        <v>165</v>
      </c>
      <c r="V32" s="26"/>
      <c r="W32" s="26"/>
      <c r="X32" s="26"/>
      <c r="Y32" s="26"/>
      <c r="Z32" s="27"/>
      <c r="AA32" s="41"/>
      <c r="AB32" s="114"/>
    </row>
    <row r="33" spans="1:28" s="28" customFormat="1" ht="20.100000000000001" customHeight="1">
      <c r="A33" s="129"/>
      <c r="B33" s="139"/>
      <c r="C33" s="58" t="s">
        <v>202</v>
      </c>
      <c r="D33" s="82">
        <v>224</v>
      </c>
      <c r="E33" s="44" t="s">
        <v>68</v>
      </c>
      <c r="F33" s="83">
        <v>3</v>
      </c>
      <c r="G33" s="82">
        <v>227</v>
      </c>
      <c r="H33" s="44" t="s">
        <v>68</v>
      </c>
      <c r="I33" s="83">
        <v>0</v>
      </c>
      <c r="J33" s="46" t="s">
        <v>70</v>
      </c>
      <c r="K33" s="47">
        <v>55.33</v>
      </c>
      <c r="L33" s="48"/>
      <c r="M33" s="49"/>
      <c r="N33" s="50"/>
      <c r="O33" s="50"/>
      <c r="P33" s="48"/>
      <c r="Q33" s="53"/>
      <c r="R33" s="37">
        <f t="shared" si="0"/>
        <v>55.33</v>
      </c>
      <c r="S33" s="54" t="s">
        <v>8</v>
      </c>
      <c r="T33" s="141" t="s">
        <v>90</v>
      </c>
      <c r="U33" s="39" t="s">
        <v>165</v>
      </c>
      <c r="V33" s="26"/>
      <c r="W33" s="26"/>
      <c r="X33" s="26"/>
      <c r="Y33" s="26"/>
      <c r="Z33" s="27"/>
      <c r="AA33" s="41"/>
      <c r="AB33" s="114"/>
    </row>
    <row r="34" spans="1:28" s="28" customFormat="1" ht="20.100000000000001" customHeight="1">
      <c r="A34" s="129"/>
      <c r="B34" s="139"/>
      <c r="C34" s="58" t="s">
        <v>206</v>
      </c>
      <c r="D34" s="82">
        <v>307</v>
      </c>
      <c r="E34" s="44" t="s">
        <v>68</v>
      </c>
      <c r="F34" s="83">
        <v>7</v>
      </c>
      <c r="G34" s="82">
        <v>308</v>
      </c>
      <c r="H34" s="44" t="s">
        <v>68</v>
      </c>
      <c r="I34" s="83">
        <v>0</v>
      </c>
      <c r="J34" s="46" t="s">
        <v>105</v>
      </c>
      <c r="K34" s="35">
        <v>39.299999999999997</v>
      </c>
      <c r="L34" s="48"/>
      <c r="M34" s="49"/>
      <c r="N34" s="50"/>
      <c r="O34" s="50"/>
      <c r="P34" s="48"/>
      <c r="Q34" s="53"/>
      <c r="R34" s="53">
        <v>39.299999999999997</v>
      </c>
      <c r="S34" s="54" t="s">
        <v>8</v>
      </c>
      <c r="T34" s="141" t="s">
        <v>93</v>
      </c>
      <c r="U34" s="167" t="s">
        <v>226</v>
      </c>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133"/>
      <c r="R35" s="133"/>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133"/>
      <c r="R36" s="133"/>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133"/>
      <c r="R37" s="133"/>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28" customFormat="1" ht="20.100000000000001" customHeight="1">
      <c r="A48" s="129"/>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114"/>
    </row>
    <row r="49" spans="1:28" s="28" customFormat="1" ht="20.100000000000001" customHeight="1">
      <c r="A49" s="129"/>
      <c r="B49" s="128"/>
      <c r="C49" s="127"/>
      <c r="D49" s="126"/>
      <c r="E49" s="125"/>
      <c r="F49" s="124"/>
      <c r="G49" s="126"/>
      <c r="H49" s="125"/>
      <c r="I49" s="124"/>
      <c r="J49" s="123"/>
      <c r="K49" s="122"/>
      <c r="L49" s="119"/>
      <c r="M49" s="121"/>
      <c r="N49" s="120"/>
      <c r="O49" s="120"/>
      <c r="P49" s="119"/>
      <c r="Q49" s="118"/>
      <c r="R49" s="118"/>
      <c r="S49" s="117"/>
      <c r="T49" s="116"/>
      <c r="U49" s="115"/>
      <c r="V49" s="26"/>
      <c r="W49" s="26"/>
      <c r="X49" s="26"/>
      <c r="Y49" s="26"/>
      <c r="Z49" s="27"/>
      <c r="AA49" s="41"/>
      <c r="AB49" s="114"/>
    </row>
    <row r="50" spans="1:28" ht="20.100000000000001" customHeight="1">
      <c r="B50" s="109"/>
      <c r="C50" s="113"/>
      <c r="D50" s="2670" t="s">
        <v>18</v>
      </c>
      <c r="E50" s="2671"/>
      <c r="F50" s="2671"/>
      <c r="G50" s="2671"/>
      <c r="H50" s="2671"/>
      <c r="I50" s="2672"/>
      <c r="J50" s="2694" t="e">
        <f>VLOOKUP(A52,#REF!,6,FALSE)</f>
        <v>#REF!</v>
      </c>
      <c r="K50" s="2695"/>
      <c r="L50" s="112" t="s">
        <v>8</v>
      </c>
      <c r="M50" s="2696" t="s">
        <v>19</v>
      </c>
      <c r="N50" s="2697"/>
      <c r="O50" s="2697"/>
      <c r="P50" s="2697"/>
      <c r="Q50" s="2698"/>
      <c r="R50" s="111">
        <f>SUM(R14:R49)</f>
        <v>1467.6799999999998</v>
      </c>
      <c r="S50" s="110" t="str">
        <f>L50</f>
        <v>m</v>
      </c>
      <c r="T50" s="106"/>
      <c r="U50" s="105"/>
    </row>
    <row r="51" spans="1:28" ht="20.100000000000001" customHeight="1">
      <c r="B51" s="109"/>
      <c r="C51" s="72"/>
      <c r="D51" s="2678" t="s">
        <v>20</v>
      </c>
      <c r="E51" s="2679"/>
      <c r="F51" s="2679"/>
      <c r="G51" s="2679"/>
      <c r="H51" s="2679"/>
      <c r="I51" s="2680"/>
      <c r="J51" s="2699" t="e">
        <f>R50/J50</f>
        <v>#REF!</v>
      </c>
      <c r="K51" s="2700"/>
      <c r="L51" s="2703"/>
      <c r="M51" s="2737" t="s">
        <v>21</v>
      </c>
      <c r="N51" s="2738"/>
      <c r="O51" s="2738"/>
      <c r="P51" s="2738"/>
      <c r="Q51" s="2739"/>
      <c r="R51" s="108">
        <f>SUM(R14:R34)</f>
        <v>1467.6799999999998</v>
      </c>
      <c r="S51" s="107" t="str">
        <f>L50</f>
        <v>m</v>
      </c>
      <c r="T51" s="106"/>
      <c r="U51" s="105"/>
    </row>
    <row r="52" spans="1:28" ht="20.100000000000001" customHeight="1">
      <c r="A52" s="12" t="s">
        <v>188</v>
      </c>
      <c r="B52" s="213"/>
      <c r="C52" s="73"/>
      <c r="D52" s="2670"/>
      <c r="E52" s="2671"/>
      <c r="F52" s="2671"/>
      <c r="G52" s="2671"/>
      <c r="H52" s="2671"/>
      <c r="I52" s="2672"/>
      <c r="J52" s="2701"/>
      <c r="K52" s="2702"/>
      <c r="L52" s="2704"/>
      <c r="M52" s="2737" t="s">
        <v>22</v>
      </c>
      <c r="N52" s="2738"/>
      <c r="O52" s="2738"/>
      <c r="P52" s="2738"/>
      <c r="Q52" s="2739"/>
      <c r="R52" s="103">
        <f>R50-R51</f>
        <v>0</v>
      </c>
      <c r="S52" s="102" t="str">
        <f>L50</f>
        <v>m</v>
      </c>
      <c r="T52" s="101"/>
      <c r="U52" s="100"/>
    </row>
  </sheetData>
  <mergeCells count="33">
    <mergeCell ref="D50:I50"/>
    <mergeCell ref="J50:K50"/>
    <mergeCell ref="M50:Q50"/>
    <mergeCell ref="N12:N13"/>
    <mergeCell ref="O12:O13"/>
    <mergeCell ref="Q12:Q13"/>
    <mergeCell ref="L12:L13"/>
    <mergeCell ref="D51:I52"/>
    <mergeCell ref="J51:K52"/>
    <mergeCell ref="L51:L52"/>
    <mergeCell ref="M51:Q51"/>
    <mergeCell ref="M52:Q52"/>
    <mergeCell ref="V5:AA5"/>
    <mergeCell ref="B6:I6"/>
    <mergeCell ref="T8:U8"/>
    <mergeCell ref="B12:B13"/>
    <mergeCell ref="C12:C13"/>
    <mergeCell ref="D12:I12"/>
    <mergeCell ref="J12:J13"/>
    <mergeCell ref="K12:K13"/>
    <mergeCell ref="U12:U13"/>
    <mergeCell ref="R12:R13"/>
    <mergeCell ref="S12:S13"/>
    <mergeCell ref="D13:F13"/>
    <mergeCell ref="P12:P13"/>
    <mergeCell ref="C11:L11"/>
    <mergeCell ref="T12:T13"/>
    <mergeCell ref="K6:U6"/>
    <mergeCell ref="T9:U9"/>
    <mergeCell ref="M12:M13"/>
    <mergeCell ref="T10:U10"/>
    <mergeCell ref="G13:I13"/>
    <mergeCell ref="B1:U5"/>
  </mergeCells>
  <conditionalFormatting sqref="J51:K52">
    <cfRule type="cellIs" dxfId="25" priority="1" operator="greaterThanOrEqual">
      <formula>1</formula>
    </cfRule>
    <cfRule type="cellIs" dxfId="24" priority="2" operator="greaterThan">
      <formula>100%</formula>
    </cfRule>
  </conditionalFormatting>
  <printOptions horizontalCentered="1"/>
  <pageMargins left="0.39370078740157483" right="0.39370078740157483" top="0.78740157480314965" bottom="0.78740157480314965" header="0" footer="0.19685039370078741"/>
  <pageSetup paperSize="9" scale="44" firstPageNumber="45"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M132"/>
  <sheetViews>
    <sheetView view="pageBreakPreview" zoomScale="55" zoomScaleNormal="55" zoomScaleSheetLayoutView="55" workbookViewId="0">
      <selection activeCell="L87" sqref="L87"/>
    </sheetView>
  </sheetViews>
  <sheetFormatPr defaultRowHeight="12.75"/>
  <cols>
    <col min="1" max="1" width="0.85546875" style="310" customWidth="1"/>
    <col min="2" max="2" width="10" style="310" customWidth="1"/>
    <col min="3" max="3" width="13.5703125" style="310" customWidth="1"/>
    <col min="4" max="4" width="13.85546875" style="310" customWidth="1"/>
    <col min="5" max="5" width="13.140625" style="310" customWidth="1"/>
    <col min="6" max="6" width="13.85546875" style="310" customWidth="1"/>
    <col min="7" max="7" width="14.5703125" style="310" customWidth="1"/>
    <col min="8" max="8" width="14.7109375" style="310" customWidth="1"/>
    <col min="9" max="9" width="11.5703125" style="310" bestFit="1" customWidth="1"/>
    <col min="10" max="10" width="12.7109375" style="310" bestFit="1" customWidth="1"/>
    <col min="11" max="13" width="11.5703125" style="310" bestFit="1" customWidth="1"/>
    <col min="14" max="14" width="11" style="310" bestFit="1" customWidth="1"/>
    <col min="15" max="15" width="11.5703125" style="310" bestFit="1" customWidth="1"/>
    <col min="16" max="16" width="11" style="310" bestFit="1" customWidth="1"/>
    <col min="17" max="17" width="11.5703125" style="310" bestFit="1" customWidth="1"/>
    <col min="18" max="18" width="10.42578125" style="310" bestFit="1" customWidth="1"/>
    <col min="19" max="19" width="12.7109375" style="310" bestFit="1" customWidth="1"/>
    <col min="20" max="20" width="10.42578125" style="310" bestFit="1" customWidth="1"/>
    <col min="21" max="21" width="11.5703125" style="310" bestFit="1" customWidth="1"/>
    <col min="22" max="22" width="12.7109375" style="310" bestFit="1" customWidth="1"/>
    <col min="23" max="25" width="11.5703125" style="310" bestFit="1" customWidth="1"/>
    <col min="26" max="26" width="11" style="310" customWidth="1"/>
    <col min="27" max="27" width="11.5703125" style="310" bestFit="1" customWidth="1"/>
    <col min="28" max="28" width="1.140625" style="310" customWidth="1"/>
    <col min="29" max="16384" width="9.140625" style="310"/>
  </cols>
  <sheetData>
    <row r="1" spans="1:31">
      <c r="A1" s="413"/>
      <c r="B1" s="415"/>
      <c r="C1" s="415"/>
      <c r="D1" s="415"/>
      <c r="E1" s="415"/>
      <c r="F1" s="415"/>
      <c r="G1" s="415"/>
      <c r="H1" s="415"/>
      <c r="I1" s="415"/>
      <c r="J1" s="415"/>
      <c r="K1" s="415"/>
      <c r="L1" s="415"/>
      <c r="M1" s="415"/>
      <c r="N1" s="415"/>
      <c r="O1" s="415"/>
      <c r="P1" s="415"/>
      <c r="Q1" s="415"/>
      <c r="R1" s="415"/>
      <c r="S1" s="415"/>
      <c r="T1" s="415"/>
      <c r="U1" s="415"/>
      <c r="V1" s="415"/>
      <c r="W1" s="415"/>
      <c r="X1" s="415"/>
      <c r="Y1" s="415"/>
      <c r="Z1" s="416"/>
    </row>
    <row r="2" spans="1:31" ht="15" customHeight="1">
      <c r="A2" s="2306" t="s">
        <v>532</v>
      </c>
      <c r="B2" s="2306"/>
      <c r="C2" s="2307"/>
      <c r="D2" s="2307"/>
      <c r="E2" s="2307"/>
      <c r="F2" s="2307"/>
      <c r="G2" s="2307"/>
      <c r="H2" s="2307"/>
      <c r="I2" s="2307"/>
      <c r="J2" s="2307"/>
      <c r="K2" s="2307"/>
      <c r="L2" s="2307"/>
      <c r="M2" s="2307"/>
      <c r="N2" s="2307"/>
      <c r="O2" s="2307"/>
      <c r="P2" s="2307"/>
      <c r="Q2" s="2307"/>
      <c r="R2" s="2307"/>
      <c r="S2" s="2308"/>
      <c r="T2" s="2307"/>
      <c r="U2" s="2307"/>
      <c r="V2" s="2307"/>
      <c r="W2" s="2307"/>
      <c r="X2" s="2307"/>
      <c r="Y2" s="2307"/>
      <c r="Z2" s="2308"/>
    </row>
    <row r="3" spans="1:31" ht="15" customHeight="1">
      <c r="A3" s="2306"/>
      <c r="B3" s="2306"/>
      <c r="C3" s="2307"/>
      <c r="D3" s="2307"/>
      <c r="E3" s="2307"/>
      <c r="F3" s="2307"/>
      <c r="G3" s="2307"/>
      <c r="H3" s="2307"/>
      <c r="I3" s="2307"/>
      <c r="J3" s="2307"/>
      <c r="K3" s="2307"/>
      <c r="L3" s="2307"/>
      <c r="M3" s="2307"/>
      <c r="N3" s="2307"/>
      <c r="O3" s="2307"/>
      <c r="P3" s="2307"/>
      <c r="Q3" s="2307"/>
      <c r="R3" s="2307"/>
      <c r="S3" s="2308"/>
      <c r="T3" s="2307"/>
      <c r="U3" s="2307"/>
      <c r="V3" s="2307"/>
      <c r="W3" s="2307"/>
      <c r="X3" s="2307"/>
      <c r="Y3" s="2307"/>
      <c r="Z3" s="2308"/>
    </row>
    <row r="4" spans="1:31" ht="15">
      <c r="A4" s="749"/>
      <c r="B4" s="321"/>
      <c r="C4" s="321"/>
      <c r="D4" s="321"/>
      <c r="E4" s="321"/>
      <c r="F4" s="321"/>
      <c r="G4" s="321"/>
      <c r="H4" s="321"/>
      <c r="I4" s="321"/>
      <c r="J4" s="321"/>
      <c r="K4" s="321"/>
      <c r="L4" s="321"/>
      <c r="M4" s="321"/>
      <c r="N4" s="321"/>
      <c r="O4" s="321"/>
      <c r="P4" s="321"/>
      <c r="Q4" s="321"/>
      <c r="R4" s="321"/>
      <c r="S4" s="321"/>
      <c r="T4" s="321"/>
      <c r="U4" s="322"/>
      <c r="V4" s="321"/>
      <c r="W4" s="321"/>
      <c r="X4" s="321"/>
      <c r="Y4" s="321"/>
      <c r="Z4" s="750"/>
    </row>
    <row r="5" spans="1:31" ht="21.75" customHeight="1">
      <c r="A5" s="749"/>
      <c r="B5" s="801" t="s">
        <v>696</v>
      </c>
      <c r="C5" s="801"/>
      <c r="D5" s="802"/>
      <c r="E5" s="803"/>
      <c r="F5" s="803"/>
      <c r="G5" s="803"/>
      <c r="H5" s="803"/>
      <c r="I5" s="803"/>
      <c r="J5" s="803"/>
      <c r="K5" s="803"/>
      <c r="L5" s="803"/>
      <c r="M5" s="803"/>
      <c r="N5" s="323"/>
      <c r="O5" s="323"/>
      <c r="P5" s="323"/>
      <c r="Q5" s="323"/>
      <c r="R5" s="323"/>
      <c r="S5" s="323"/>
      <c r="T5" s="801" t="s">
        <v>1015</v>
      </c>
      <c r="U5" s="801"/>
      <c r="V5" s="804"/>
      <c r="W5" s="804"/>
      <c r="X5" s="822"/>
      <c r="Y5" s="323"/>
      <c r="Z5" s="751"/>
    </row>
    <row r="6" spans="1:31" ht="21.75" customHeight="1">
      <c r="A6" s="749"/>
      <c r="B6" s="801" t="s">
        <v>778</v>
      </c>
      <c r="C6" s="801"/>
      <c r="D6" s="802"/>
      <c r="E6" s="805"/>
      <c r="F6" s="805"/>
      <c r="G6" s="805"/>
      <c r="H6" s="805"/>
      <c r="I6" s="805"/>
      <c r="J6" s="805"/>
      <c r="K6" s="805"/>
      <c r="L6" s="805"/>
      <c r="M6" s="805"/>
      <c r="N6" s="313"/>
      <c r="O6" s="313"/>
      <c r="P6" s="313"/>
      <c r="Q6" s="313"/>
      <c r="R6" s="313"/>
      <c r="S6" s="313"/>
      <c r="T6" s="821" t="s">
        <v>726</v>
      </c>
      <c r="U6" s="821"/>
      <c r="V6" s="370"/>
      <c r="W6" s="369"/>
      <c r="X6" s="323"/>
      <c r="Y6" s="323"/>
      <c r="Z6" s="751"/>
    </row>
    <row r="7" spans="1:31" ht="21.75" customHeight="1">
      <c r="A7" s="749"/>
      <c r="B7" s="801" t="s">
        <v>586</v>
      </c>
      <c r="C7" s="801"/>
      <c r="D7" s="802"/>
      <c r="E7" s="802"/>
      <c r="F7" s="802"/>
      <c r="G7" s="802"/>
      <c r="H7" s="802"/>
      <c r="I7" s="802"/>
      <c r="J7" s="802"/>
      <c r="K7" s="802"/>
      <c r="L7" s="802"/>
      <c r="M7" s="802"/>
      <c r="N7" s="802"/>
      <c r="O7" s="802"/>
      <c r="P7" s="802"/>
      <c r="Q7" s="313"/>
      <c r="R7" s="313"/>
      <c r="S7" s="313"/>
      <c r="T7" s="801" t="s">
        <v>697</v>
      </c>
      <c r="U7" s="801"/>
      <c r="V7" s="802"/>
      <c r="W7" s="803"/>
      <c r="X7" s="803"/>
      <c r="Y7" s="803"/>
      <c r="Z7" s="752"/>
      <c r="AA7" s="324"/>
      <c r="AB7" s="324"/>
      <c r="AC7" s="324"/>
      <c r="AD7" s="324"/>
      <c r="AE7" s="324"/>
    </row>
    <row r="8" spans="1:31" ht="15" customHeight="1">
      <c r="A8" s="749"/>
      <c r="B8" s="325"/>
      <c r="C8" s="326"/>
      <c r="D8" s="321"/>
      <c r="E8" s="2304"/>
      <c r="F8" s="2304"/>
      <c r="G8" s="2304"/>
      <c r="H8" s="2304"/>
      <c r="I8" s="2304"/>
      <c r="J8" s="2304"/>
      <c r="K8" s="2304"/>
      <c r="L8" s="2304"/>
      <c r="M8" s="2304"/>
      <c r="N8" s="313"/>
      <c r="O8" s="313"/>
      <c r="P8" s="313"/>
      <c r="Q8" s="313"/>
      <c r="R8" s="313"/>
      <c r="S8" s="313"/>
      <c r="T8" s="313"/>
      <c r="U8" s="313"/>
      <c r="V8" s="313"/>
      <c r="W8" s="313"/>
      <c r="X8" s="321"/>
      <c r="Y8" s="321"/>
      <c r="Z8" s="750"/>
    </row>
    <row r="9" spans="1:31" ht="15.75">
      <c r="A9" s="749"/>
      <c r="B9" s="321"/>
      <c r="C9" s="321"/>
      <c r="D9" s="321"/>
      <c r="E9" s="313"/>
      <c r="F9" s="313"/>
      <c r="G9" s="313"/>
      <c r="H9" s="313"/>
      <c r="I9" s="313"/>
      <c r="J9" s="313"/>
      <c r="K9" s="313"/>
      <c r="L9" s="313"/>
      <c r="M9" s="313"/>
      <c r="N9" s="313"/>
      <c r="O9" s="313"/>
      <c r="P9" s="313"/>
      <c r="Q9" s="313"/>
      <c r="R9" s="313"/>
      <c r="S9" s="313"/>
      <c r="T9" s="313"/>
      <c r="U9" s="313"/>
      <c r="V9" s="313"/>
      <c r="W9" s="313"/>
      <c r="X9" s="321"/>
      <c r="Y9" s="321"/>
      <c r="Z9" s="750"/>
    </row>
    <row r="10" spans="1:31" ht="7.5" customHeight="1">
      <c r="A10" s="749"/>
      <c r="B10" s="321"/>
      <c r="C10" s="321"/>
      <c r="D10" s="321"/>
      <c r="E10" s="313"/>
      <c r="F10" s="313"/>
      <c r="G10" s="313"/>
      <c r="H10" s="313"/>
      <c r="I10" s="313"/>
      <c r="J10" s="313"/>
      <c r="K10" s="313"/>
      <c r="L10" s="313"/>
      <c r="M10" s="313"/>
      <c r="N10" s="313"/>
      <c r="O10" s="313"/>
      <c r="P10" s="313"/>
      <c r="Q10" s="313"/>
      <c r="R10" s="313"/>
      <c r="S10" s="313"/>
      <c r="T10" s="313"/>
      <c r="U10" s="313"/>
      <c r="V10" s="313"/>
      <c r="W10" s="313"/>
      <c r="X10" s="321"/>
      <c r="Y10" s="321"/>
      <c r="Z10" s="750"/>
    </row>
    <row r="11" spans="1:31" ht="7.5" customHeight="1">
      <c r="A11" s="749"/>
      <c r="B11" s="321"/>
      <c r="C11" s="321"/>
      <c r="D11" s="321"/>
      <c r="E11" s="313"/>
      <c r="F11" s="313"/>
      <c r="G11" s="313"/>
      <c r="H11" s="313"/>
      <c r="I11" s="313"/>
      <c r="J11" s="313"/>
      <c r="K11" s="313"/>
      <c r="L11" s="313"/>
      <c r="M11" s="313"/>
      <c r="N11" s="313"/>
      <c r="O11" s="313"/>
      <c r="P11" s="313"/>
      <c r="Q11" s="313"/>
      <c r="R11" s="313"/>
      <c r="S11" s="313"/>
      <c r="T11" s="313"/>
      <c r="U11" s="313"/>
      <c r="V11" s="313"/>
      <c r="W11" s="313"/>
      <c r="X11" s="321"/>
      <c r="Y11" s="321"/>
      <c r="Z11" s="750"/>
    </row>
    <row r="12" spans="1:31" ht="7.5" customHeight="1">
      <c r="A12" s="749"/>
      <c r="B12" s="321"/>
      <c r="C12" s="321"/>
      <c r="D12" s="321"/>
      <c r="E12" s="313"/>
      <c r="F12" s="313"/>
      <c r="G12" s="313"/>
      <c r="H12" s="313"/>
      <c r="I12" s="313"/>
      <c r="J12" s="313"/>
      <c r="K12" s="313"/>
      <c r="L12" s="313"/>
      <c r="M12" s="313"/>
      <c r="N12" s="313"/>
      <c r="O12" s="313"/>
      <c r="P12" s="313"/>
      <c r="Q12" s="313"/>
      <c r="R12" s="313"/>
      <c r="S12" s="313"/>
      <c r="T12" s="313"/>
      <c r="U12" s="313"/>
      <c r="V12" s="313"/>
      <c r="W12" s="313"/>
      <c r="X12" s="321"/>
      <c r="Y12" s="321"/>
      <c r="Z12" s="750"/>
    </row>
    <row r="13" spans="1:31" ht="7.5" customHeight="1">
      <c r="A13" s="749"/>
      <c r="B13" s="321"/>
      <c r="C13" s="321"/>
      <c r="D13" s="321"/>
      <c r="E13" s="313"/>
      <c r="F13" s="313"/>
      <c r="G13" s="313"/>
      <c r="H13" s="313"/>
      <c r="I13" s="313"/>
      <c r="J13" s="313"/>
      <c r="K13" s="313"/>
      <c r="L13" s="313"/>
      <c r="M13" s="313"/>
      <c r="N13" s="313"/>
      <c r="O13" s="313"/>
      <c r="P13" s="313"/>
      <c r="Q13" s="313"/>
      <c r="R13" s="313"/>
      <c r="S13" s="313"/>
      <c r="T13" s="313"/>
      <c r="U13" s="313"/>
      <c r="V13" s="313"/>
      <c r="W13" s="313"/>
      <c r="X13" s="321"/>
      <c r="Y13" s="321"/>
      <c r="Z13" s="750"/>
    </row>
    <row r="14" spans="1:31" ht="7.5" customHeight="1">
      <c r="A14" s="749"/>
      <c r="B14" s="321"/>
      <c r="C14" s="327">
        <v>8162882.2800000003</v>
      </c>
      <c r="D14" s="321"/>
      <c r="E14" s="313"/>
      <c r="F14" s="313"/>
      <c r="G14" s="313"/>
      <c r="H14" s="313"/>
      <c r="I14" s="313"/>
      <c r="J14" s="313"/>
      <c r="K14" s="313"/>
      <c r="L14" s="313"/>
      <c r="M14" s="313"/>
      <c r="N14" s="313"/>
      <c r="O14" s="313"/>
      <c r="P14" s="313"/>
      <c r="Q14" s="313"/>
      <c r="R14" s="313"/>
      <c r="S14" s="313"/>
      <c r="T14" s="313"/>
      <c r="U14" s="313"/>
      <c r="V14" s="313"/>
      <c r="W14" s="313"/>
      <c r="X14" s="321"/>
      <c r="Y14" s="321"/>
      <c r="Z14" s="750"/>
    </row>
    <row r="15" spans="1:31" ht="7.5" customHeight="1">
      <c r="A15" s="749"/>
      <c r="B15" s="321"/>
      <c r="C15" s="321"/>
      <c r="D15" s="321"/>
      <c r="E15" s="313"/>
      <c r="F15" s="313"/>
      <c r="G15" s="313"/>
      <c r="H15" s="313"/>
      <c r="I15" s="313"/>
      <c r="J15" s="313"/>
      <c r="K15" s="313"/>
      <c r="L15" s="313"/>
      <c r="M15" s="313"/>
      <c r="N15" s="313"/>
      <c r="O15" s="313"/>
      <c r="P15" s="313"/>
      <c r="Q15" s="313"/>
      <c r="R15" s="313"/>
      <c r="S15" s="313"/>
      <c r="T15" s="313"/>
      <c r="U15" s="313"/>
      <c r="V15" s="313"/>
      <c r="W15" s="313"/>
      <c r="X15" s="321"/>
      <c r="Y15" s="321"/>
      <c r="Z15" s="750"/>
    </row>
    <row r="16" spans="1:31" ht="7.5" customHeight="1">
      <c r="A16" s="749"/>
      <c r="B16" s="321"/>
      <c r="C16" s="321"/>
      <c r="D16" s="321"/>
      <c r="E16" s="313"/>
      <c r="F16" s="313"/>
      <c r="G16" s="313"/>
      <c r="H16" s="313"/>
      <c r="I16" s="313"/>
      <c r="J16" s="313"/>
      <c r="K16" s="313"/>
      <c r="L16" s="313"/>
      <c r="M16" s="313"/>
      <c r="N16" s="313"/>
      <c r="O16" s="313"/>
      <c r="P16" s="313"/>
      <c r="Q16" s="313"/>
      <c r="R16" s="313"/>
      <c r="S16" s="313"/>
      <c r="T16" s="313"/>
      <c r="U16" s="313"/>
      <c r="V16" s="313"/>
      <c r="W16" s="313"/>
      <c r="X16" s="321"/>
      <c r="Y16" s="321"/>
      <c r="Z16" s="750"/>
    </row>
    <row r="17" spans="1:26" ht="7.5" customHeight="1">
      <c r="A17" s="749"/>
      <c r="B17" s="321"/>
      <c r="C17" s="321"/>
      <c r="D17" s="321"/>
      <c r="E17" s="313"/>
      <c r="F17" s="313"/>
      <c r="G17" s="313"/>
      <c r="H17" s="313"/>
      <c r="I17" s="313"/>
      <c r="J17" s="313"/>
      <c r="K17" s="313"/>
      <c r="L17" s="313"/>
      <c r="M17" s="313"/>
      <c r="N17" s="313"/>
      <c r="O17" s="313"/>
      <c r="P17" s="313"/>
      <c r="Q17" s="313"/>
      <c r="R17" s="313"/>
      <c r="S17" s="313"/>
      <c r="T17" s="313"/>
      <c r="U17" s="313"/>
      <c r="V17" s="313"/>
      <c r="W17" s="313"/>
      <c r="X17" s="321"/>
      <c r="Y17" s="321"/>
      <c r="Z17" s="750"/>
    </row>
    <row r="18" spans="1:26" ht="7.5" customHeight="1">
      <c r="A18" s="749"/>
      <c r="B18" s="321"/>
      <c r="C18" s="321"/>
      <c r="D18" s="321"/>
      <c r="E18" s="313"/>
      <c r="F18" s="313"/>
      <c r="G18" s="313"/>
      <c r="H18" s="313"/>
      <c r="I18" s="313"/>
      <c r="J18" s="313"/>
      <c r="K18" s="313"/>
      <c r="L18" s="313"/>
      <c r="M18" s="313"/>
      <c r="N18" s="313"/>
      <c r="O18" s="313"/>
      <c r="P18" s="313"/>
      <c r="Q18" s="313"/>
      <c r="R18" s="313"/>
      <c r="S18" s="313"/>
      <c r="T18" s="313"/>
      <c r="U18" s="313"/>
      <c r="V18" s="313"/>
      <c r="W18" s="313"/>
      <c r="X18" s="321"/>
      <c r="Y18" s="321"/>
      <c r="Z18" s="750"/>
    </row>
    <row r="19" spans="1:26" ht="7.5" customHeight="1">
      <c r="A19" s="749"/>
      <c r="B19" s="321"/>
      <c r="C19" s="321"/>
      <c r="D19" s="321"/>
      <c r="E19" s="313"/>
      <c r="F19" s="313"/>
      <c r="G19" s="313"/>
      <c r="H19" s="313"/>
      <c r="I19" s="313"/>
      <c r="J19" s="313"/>
      <c r="K19" s="313"/>
      <c r="L19" s="313"/>
      <c r="M19" s="313"/>
      <c r="N19" s="313"/>
      <c r="O19" s="313"/>
      <c r="P19" s="313"/>
      <c r="Q19" s="313"/>
      <c r="R19" s="313"/>
      <c r="S19" s="313"/>
      <c r="T19" s="313"/>
      <c r="U19" s="313"/>
      <c r="V19" s="313"/>
      <c r="W19" s="313"/>
      <c r="X19" s="321"/>
      <c r="Y19" s="321"/>
      <c r="Z19" s="750"/>
    </row>
    <row r="20" spans="1:26" ht="7.5" customHeight="1">
      <c r="A20" s="749"/>
      <c r="B20" s="321"/>
      <c r="C20" s="321"/>
      <c r="D20" s="321"/>
      <c r="E20" s="313"/>
      <c r="F20" s="313"/>
      <c r="G20" s="313"/>
      <c r="H20" s="313"/>
      <c r="I20" s="313"/>
      <c r="J20" s="313"/>
      <c r="K20" s="313"/>
      <c r="L20" s="313"/>
      <c r="M20" s="313"/>
      <c r="N20" s="313"/>
      <c r="O20" s="313"/>
      <c r="P20" s="313"/>
      <c r="Q20" s="313"/>
      <c r="R20" s="313"/>
      <c r="S20" s="313"/>
      <c r="T20" s="313"/>
      <c r="U20" s="313"/>
      <c r="V20" s="313"/>
      <c r="W20" s="313"/>
      <c r="X20" s="321"/>
      <c r="Y20" s="321"/>
      <c r="Z20" s="750"/>
    </row>
    <row r="21" spans="1:26" ht="7.5" customHeight="1">
      <c r="A21" s="749"/>
      <c r="B21" s="321"/>
      <c r="C21" s="321"/>
      <c r="D21" s="321"/>
      <c r="E21" s="313"/>
      <c r="F21" s="313"/>
      <c r="G21" s="313"/>
      <c r="H21" s="313"/>
      <c r="I21" s="313"/>
      <c r="J21" s="313"/>
      <c r="K21" s="313"/>
      <c r="L21" s="313"/>
      <c r="M21" s="313"/>
      <c r="N21" s="313"/>
      <c r="O21" s="313"/>
      <c r="P21" s="313"/>
      <c r="Q21" s="313"/>
      <c r="R21" s="313"/>
      <c r="S21" s="313"/>
      <c r="T21" s="313"/>
      <c r="U21" s="313"/>
      <c r="V21" s="313"/>
      <c r="W21" s="313"/>
      <c r="X21" s="321"/>
      <c r="Y21" s="321"/>
      <c r="Z21" s="750"/>
    </row>
    <row r="22" spans="1:26" ht="7.5" customHeight="1">
      <c r="A22" s="749"/>
      <c r="B22" s="321"/>
      <c r="C22" s="321"/>
      <c r="D22" s="321"/>
      <c r="E22" s="313"/>
      <c r="F22" s="313"/>
      <c r="G22" s="313"/>
      <c r="H22" s="313"/>
      <c r="I22" s="313"/>
      <c r="J22" s="313"/>
      <c r="K22" s="313"/>
      <c r="L22" s="313"/>
      <c r="M22" s="313"/>
      <c r="N22" s="313"/>
      <c r="O22" s="313"/>
      <c r="P22" s="313"/>
      <c r="Q22" s="313"/>
      <c r="R22" s="313"/>
      <c r="S22" s="313"/>
      <c r="T22" s="313"/>
      <c r="U22" s="313"/>
      <c r="V22" s="313"/>
      <c r="W22" s="313"/>
      <c r="X22" s="321"/>
      <c r="Y22" s="321"/>
      <c r="Z22" s="750"/>
    </row>
    <row r="23" spans="1:26" ht="7.5" customHeight="1">
      <c r="A23" s="749"/>
      <c r="B23" s="321"/>
      <c r="C23" s="321"/>
      <c r="D23" s="321"/>
      <c r="E23" s="313"/>
      <c r="F23" s="313"/>
      <c r="G23" s="313"/>
      <c r="H23" s="313"/>
      <c r="I23" s="313"/>
      <c r="J23" s="313"/>
      <c r="K23" s="313"/>
      <c r="L23" s="313"/>
      <c r="M23" s="313"/>
      <c r="N23" s="313"/>
      <c r="O23" s="313"/>
      <c r="P23" s="313"/>
      <c r="Q23" s="313"/>
      <c r="R23" s="313"/>
      <c r="S23" s="313"/>
      <c r="T23" s="313"/>
      <c r="U23" s="313"/>
      <c r="V23" s="313"/>
      <c r="W23" s="313"/>
      <c r="X23" s="321"/>
      <c r="Y23" s="321"/>
      <c r="Z23" s="750"/>
    </row>
    <row r="24" spans="1:26" ht="7.5" customHeight="1">
      <c r="A24" s="749"/>
      <c r="B24" s="321"/>
      <c r="C24" s="321"/>
      <c r="D24" s="321"/>
      <c r="E24" s="313"/>
      <c r="F24" s="313"/>
      <c r="G24" s="313"/>
      <c r="H24" s="313"/>
      <c r="I24" s="313"/>
      <c r="J24" s="313"/>
      <c r="K24" s="313"/>
      <c r="L24" s="313"/>
      <c r="M24" s="313"/>
      <c r="N24" s="313"/>
      <c r="O24" s="313"/>
      <c r="P24" s="313"/>
      <c r="Q24" s="313"/>
      <c r="R24" s="313"/>
      <c r="S24" s="313"/>
      <c r="T24" s="313"/>
      <c r="U24" s="313"/>
      <c r="V24" s="313"/>
      <c r="W24" s="313"/>
      <c r="X24" s="321"/>
      <c r="Y24" s="321"/>
      <c r="Z24" s="750"/>
    </row>
    <row r="25" spans="1:26" ht="7.5" customHeight="1">
      <c r="A25" s="749"/>
      <c r="B25" s="321"/>
      <c r="C25" s="321"/>
      <c r="D25" s="321"/>
      <c r="E25" s="313"/>
      <c r="F25" s="313"/>
      <c r="G25" s="313"/>
      <c r="H25" s="313"/>
      <c r="I25" s="313"/>
      <c r="J25" s="313"/>
      <c r="K25" s="313"/>
      <c r="L25" s="313"/>
      <c r="M25" s="313"/>
      <c r="N25" s="313"/>
      <c r="O25" s="313"/>
      <c r="P25" s="313"/>
      <c r="Q25" s="313"/>
      <c r="R25" s="313"/>
      <c r="S25" s="313"/>
      <c r="T25" s="313"/>
      <c r="U25" s="313"/>
      <c r="V25" s="313"/>
      <c r="W25" s="313"/>
      <c r="X25" s="321"/>
      <c r="Y25" s="321"/>
      <c r="Z25" s="750"/>
    </row>
    <row r="26" spans="1:26" ht="7.5" customHeight="1">
      <c r="A26" s="749"/>
      <c r="B26" s="321"/>
      <c r="C26" s="321"/>
      <c r="D26" s="321"/>
      <c r="E26" s="313"/>
      <c r="F26" s="313"/>
      <c r="G26" s="313"/>
      <c r="H26" s="313"/>
      <c r="I26" s="313"/>
      <c r="J26" s="313"/>
      <c r="K26" s="313"/>
      <c r="L26" s="313"/>
      <c r="M26" s="313"/>
      <c r="N26" s="313"/>
      <c r="O26" s="313"/>
      <c r="P26" s="313"/>
      <c r="Q26" s="313"/>
      <c r="R26" s="313"/>
      <c r="S26" s="313"/>
      <c r="T26" s="313"/>
      <c r="U26" s="313"/>
      <c r="V26" s="313"/>
      <c r="W26" s="313"/>
      <c r="X26" s="321"/>
      <c r="Y26" s="321"/>
      <c r="Z26" s="750"/>
    </row>
    <row r="27" spans="1:26" ht="7.5" customHeight="1">
      <c r="A27" s="749"/>
      <c r="B27" s="321"/>
      <c r="C27" s="321"/>
      <c r="D27" s="321"/>
      <c r="E27" s="313"/>
      <c r="F27" s="313"/>
      <c r="G27" s="313"/>
      <c r="H27" s="313"/>
      <c r="I27" s="313"/>
      <c r="J27" s="313"/>
      <c r="K27" s="313"/>
      <c r="L27" s="313"/>
      <c r="M27" s="313"/>
      <c r="N27" s="313"/>
      <c r="O27" s="313"/>
      <c r="P27" s="313"/>
      <c r="Q27" s="313"/>
      <c r="R27" s="313"/>
      <c r="S27" s="313"/>
      <c r="T27" s="313"/>
      <c r="U27" s="313"/>
      <c r="V27" s="313"/>
      <c r="W27" s="313"/>
      <c r="X27" s="321"/>
      <c r="Y27" s="321"/>
      <c r="Z27" s="750"/>
    </row>
    <row r="28" spans="1:26" ht="7.5" customHeight="1">
      <c r="A28" s="749"/>
      <c r="B28" s="321"/>
      <c r="C28" s="321"/>
      <c r="D28" s="321"/>
      <c r="E28" s="313"/>
      <c r="F28" s="313"/>
      <c r="G28" s="313"/>
      <c r="H28" s="313"/>
      <c r="I28" s="313"/>
      <c r="J28" s="313"/>
      <c r="K28" s="313"/>
      <c r="L28" s="313"/>
      <c r="M28" s="313"/>
      <c r="N28" s="313"/>
      <c r="O28" s="313"/>
      <c r="P28" s="313"/>
      <c r="Q28" s="313"/>
      <c r="R28" s="313"/>
      <c r="S28" s="313"/>
      <c r="T28" s="313"/>
      <c r="U28" s="313"/>
      <c r="V28" s="313"/>
      <c r="W28" s="313"/>
      <c r="X28" s="321"/>
      <c r="Y28" s="321"/>
      <c r="Z28" s="750"/>
    </row>
    <row r="29" spans="1:26" ht="7.5" customHeight="1">
      <c r="A29" s="749"/>
      <c r="B29" s="321"/>
      <c r="C29" s="321"/>
      <c r="D29" s="321"/>
      <c r="E29" s="313"/>
      <c r="F29" s="313"/>
      <c r="G29" s="313"/>
      <c r="H29" s="313"/>
      <c r="I29" s="313"/>
      <c r="J29" s="313"/>
      <c r="K29" s="313"/>
      <c r="L29" s="313"/>
      <c r="M29" s="313"/>
      <c r="N29" s="313"/>
      <c r="O29" s="313"/>
      <c r="P29" s="313"/>
      <c r="Q29" s="313"/>
      <c r="R29" s="313"/>
      <c r="S29" s="313"/>
      <c r="T29" s="313"/>
      <c r="U29" s="313"/>
      <c r="V29" s="313"/>
      <c r="W29" s="313"/>
      <c r="X29" s="321"/>
      <c r="Y29" s="321"/>
      <c r="Z29" s="750"/>
    </row>
    <row r="30" spans="1:26" ht="7.5" customHeight="1">
      <c r="A30" s="749"/>
      <c r="B30" s="321"/>
      <c r="C30" s="321"/>
      <c r="D30" s="321"/>
      <c r="E30" s="313"/>
      <c r="F30" s="313"/>
      <c r="G30" s="313"/>
      <c r="H30" s="313"/>
      <c r="I30" s="313"/>
      <c r="J30" s="313"/>
      <c r="K30" s="313"/>
      <c r="L30" s="313"/>
      <c r="M30" s="313"/>
      <c r="N30" s="313"/>
      <c r="O30" s="313"/>
      <c r="P30" s="313"/>
      <c r="Q30" s="313"/>
      <c r="R30" s="313"/>
      <c r="S30" s="313"/>
      <c r="T30" s="313"/>
      <c r="U30" s="313"/>
      <c r="V30" s="313"/>
      <c r="W30" s="313"/>
      <c r="X30" s="321"/>
      <c r="Y30" s="321"/>
      <c r="Z30" s="750"/>
    </row>
    <row r="31" spans="1:26" ht="7.5" customHeight="1">
      <c r="A31" s="749"/>
      <c r="B31" s="321"/>
      <c r="C31" s="321"/>
      <c r="D31" s="321"/>
      <c r="E31" s="313"/>
      <c r="F31" s="313"/>
      <c r="G31" s="313"/>
      <c r="H31" s="313"/>
      <c r="I31" s="313"/>
      <c r="J31" s="313"/>
      <c r="K31" s="313"/>
      <c r="L31" s="313"/>
      <c r="M31" s="313"/>
      <c r="N31" s="313"/>
      <c r="O31" s="313"/>
      <c r="P31" s="313"/>
      <c r="Q31" s="313"/>
      <c r="R31" s="313"/>
      <c r="S31" s="313"/>
      <c r="T31" s="313"/>
      <c r="U31" s="313"/>
      <c r="V31" s="313"/>
      <c r="W31" s="313"/>
      <c r="X31" s="321"/>
      <c r="Y31" s="321"/>
      <c r="Z31" s="750"/>
    </row>
    <row r="32" spans="1:26" ht="7.5" customHeight="1">
      <c r="A32" s="749"/>
      <c r="B32" s="321"/>
      <c r="C32" s="321"/>
      <c r="D32" s="321"/>
      <c r="E32" s="313"/>
      <c r="F32" s="313"/>
      <c r="G32" s="313"/>
      <c r="H32" s="313"/>
      <c r="I32" s="313"/>
      <c r="J32" s="313"/>
      <c r="K32" s="313"/>
      <c r="L32" s="313"/>
      <c r="M32" s="313"/>
      <c r="N32" s="313"/>
      <c r="O32" s="313"/>
      <c r="P32" s="313"/>
      <c r="Q32" s="313"/>
      <c r="R32" s="313"/>
      <c r="S32" s="313"/>
      <c r="T32" s="313"/>
      <c r="U32" s="313"/>
      <c r="V32" s="313"/>
      <c r="W32" s="313"/>
      <c r="X32" s="321"/>
      <c r="Y32" s="321"/>
      <c r="Z32" s="750"/>
    </row>
    <row r="33" spans="1:26" ht="7.5" customHeight="1">
      <c r="A33" s="749"/>
      <c r="B33" s="321"/>
      <c r="C33" s="321"/>
      <c r="D33" s="321"/>
      <c r="E33" s="313"/>
      <c r="F33" s="313"/>
      <c r="G33" s="313"/>
      <c r="H33" s="313"/>
      <c r="I33" s="313"/>
      <c r="J33" s="313"/>
      <c r="K33" s="313"/>
      <c r="L33" s="313"/>
      <c r="M33" s="313"/>
      <c r="N33" s="313"/>
      <c r="O33" s="313"/>
      <c r="P33" s="313"/>
      <c r="Q33" s="313"/>
      <c r="R33" s="313"/>
      <c r="S33" s="313"/>
      <c r="T33" s="313"/>
      <c r="U33" s="313"/>
      <c r="V33" s="313"/>
      <c r="W33" s="313"/>
      <c r="X33" s="321"/>
      <c r="Y33" s="321"/>
      <c r="Z33" s="750"/>
    </row>
    <row r="34" spans="1:26" ht="7.5" customHeight="1">
      <c r="A34" s="749"/>
      <c r="B34" s="321"/>
      <c r="C34" s="321"/>
      <c r="D34" s="321"/>
      <c r="E34" s="313"/>
      <c r="F34" s="313"/>
      <c r="G34" s="313"/>
      <c r="H34" s="313"/>
      <c r="I34" s="313"/>
      <c r="J34" s="313"/>
      <c r="K34" s="313"/>
      <c r="L34" s="313"/>
      <c r="M34" s="313"/>
      <c r="N34" s="313"/>
      <c r="O34" s="313"/>
      <c r="P34" s="313"/>
      <c r="Q34" s="313"/>
      <c r="R34" s="313"/>
      <c r="S34" s="313"/>
      <c r="T34" s="313"/>
      <c r="U34" s="313"/>
      <c r="V34" s="313"/>
      <c r="W34" s="313"/>
      <c r="X34" s="321"/>
      <c r="Y34" s="321"/>
      <c r="Z34" s="750"/>
    </row>
    <row r="35" spans="1:26" ht="7.5" customHeight="1">
      <c r="A35" s="749"/>
      <c r="B35" s="321"/>
      <c r="C35" s="321"/>
      <c r="D35" s="321"/>
      <c r="E35" s="313"/>
      <c r="F35" s="313"/>
      <c r="G35" s="313"/>
      <c r="H35" s="313"/>
      <c r="I35" s="313"/>
      <c r="J35" s="313"/>
      <c r="K35" s="313"/>
      <c r="L35" s="313"/>
      <c r="M35" s="313"/>
      <c r="N35" s="313"/>
      <c r="O35" s="313"/>
      <c r="P35" s="313"/>
      <c r="Q35" s="313"/>
      <c r="R35" s="313"/>
      <c r="S35" s="313"/>
      <c r="T35" s="313"/>
      <c r="U35" s="313"/>
      <c r="V35" s="313"/>
      <c r="W35" s="313"/>
      <c r="X35" s="321"/>
      <c r="Y35" s="321"/>
      <c r="Z35" s="750"/>
    </row>
    <row r="36" spans="1:26" ht="7.5" customHeight="1">
      <c r="A36" s="749"/>
      <c r="B36" s="321"/>
      <c r="C36" s="321"/>
      <c r="D36" s="321"/>
      <c r="E36" s="313"/>
      <c r="F36" s="313"/>
      <c r="G36" s="313"/>
      <c r="H36" s="313"/>
      <c r="I36" s="313"/>
      <c r="J36" s="313"/>
      <c r="K36" s="313"/>
      <c r="L36" s="313"/>
      <c r="M36" s="313"/>
      <c r="N36" s="313"/>
      <c r="O36" s="313"/>
      <c r="P36" s="313"/>
      <c r="Q36" s="313"/>
      <c r="R36" s="313"/>
      <c r="S36" s="313"/>
      <c r="T36" s="313"/>
      <c r="U36" s="313"/>
      <c r="V36" s="313"/>
      <c r="W36" s="313"/>
      <c r="X36" s="321"/>
      <c r="Y36" s="321"/>
      <c r="Z36" s="750"/>
    </row>
    <row r="37" spans="1:26" ht="7.5" customHeight="1">
      <c r="A37" s="749"/>
      <c r="B37" s="321"/>
      <c r="C37" s="321"/>
      <c r="D37" s="321"/>
      <c r="E37" s="313"/>
      <c r="F37" s="313"/>
      <c r="G37" s="313"/>
      <c r="H37" s="313"/>
      <c r="I37" s="313"/>
      <c r="J37" s="313"/>
      <c r="K37" s="313"/>
      <c r="L37" s="313"/>
      <c r="M37" s="313"/>
      <c r="N37" s="313"/>
      <c r="O37" s="313"/>
      <c r="P37" s="313"/>
      <c r="Q37" s="313"/>
      <c r="R37" s="313"/>
      <c r="S37" s="313"/>
      <c r="T37" s="313"/>
      <c r="U37" s="313"/>
      <c r="V37" s="313"/>
      <c r="W37" s="313"/>
      <c r="X37" s="321"/>
      <c r="Y37" s="321"/>
      <c r="Z37" s="750"/>
    </row>
    <row r="38" spans="1:26" ht="7.5" customHeight="1">
      <c r="A38" s="749"/>
      <c r="B38" s="321"/>
      <c r="C38" s="321"/>
      <c r="D38" s="321"/>
      <c r="E38" s="313"/>
      <c r="F38" s="313"/>
      <c r="G38" s="313"/>
      <c r="H38" s="313"/>
      <c r="I38" s="313"/>
      <c r="J38" s="313"/>
      <c r="K38" s="313"/>
      <c r="L38" s="313"/>
      <c r="M38" s="313"/>
      <c r="N38" s="313"/>
      <c r="O38" s="313"/>
      <c r="P38" s="313"/>
      <c r="Q38" s="313"/>
      <c r="R38" s="313"/>
      <c r="S38" s="313"/>
      <c r="T38" s="313"/>
      <c r="U38" s="313"/>
      <c r="V38" s="313"/>
      <c r="W38" s="313"/>
      <c r="X38" s="321"/>
      <c r="Y38" s="321"/>
      <c r="Z38" s="750"/>
    </row>
    <row r="39" spans="1:26" ht="7.5" customHeight="1">
      <c r="A39" s="749"/>
      <c r="B39" s="321"/>
      <c r="C39" s="321"/>
      <c r="D39" s="321"/>
      <c r="E39" s="313"/>
      <c r="F39" s="313"/>
      <c r="G39" s="313"/>
      <c r="H39" s="313"/>
      <c r="I39" s="313"/>
      <c r="J39" s="313"/>
      <c r="K39" s="313"/>
      <c r="L39" s="313"/>
      <c r="M39" s="313"/>
      <c r="N39" s="313"/>
      <c r="O39" s="313"/>
      <c r="P39" s="313"/>
      <c r="Q39" s="313"/>
      <c r="R39" s="313"/>
      <c r="S39" s="313"/>
      <c r="T39" s="313"/>
      <c r="U39" s="313"/>
      <c r="V39" s="313"/>
      <c r="W39" s="313"/>
      <c r="X39" s="321"/>
      <c r="Y39" s="321"/>
      <c r="Z39" s="750"/>
    </row>
    <row r="40" spans="1:26" ht="7.5" customHeight="1">
      <c r="A40" s="749"/>
      <c r="B40" s="321"/>
      <c r="C40" s="321"/>
      <c r="D40" s="321"/>
      <c r="E40" s="313"/>
      <c r="F40" s="313"/>
      <c r="G40" s="313"/>
      <c r="H40" s="313"/>
      <c r="I40" s="313"/>
      <c r="J40" s="313"/>
      <c r="K40" s="313"/>
      <c r="L40" s="313"/>
      <c r="M40" s="313"/>
      <c r="N40" s="313"/>
      <c r="O40" s="313"/>
      <c r="P40" s="313"/>
      <c r="Q40" s="313"/>
      <c r="R40" s="313"/>
      <c r="S40" s="313"/>
      <c r="T40" s="313"/>
      <c r="U40" s="313"/>
      <c r="V40" s="313"/>
      <c r="W40" s="313"/>
      <c r="X40" s="321"/>
      <c r="Y40" s="321"/>
      <c r="Z40" s="750"/>
    </row>
    <row r="41" spans="1:26" ht="7.5" customHeight="1">
      <c r="A41" s="749"/>
      <c r="B41" s="321"/>
      <c r="C41" s="321"/>
      <c r="D41" s="321"/>
      <c r="E41" s="313"/>
      <c r="F41" s="313"/>
      <c r="G41" s="313"/>
      <c r="H41" s="313"/>
      <c r="I41" s="313"/>
      <c r="J41" s="313"/>
      <c r="K41" s="313"/>
      <c r="L41" s="313"/>
      <c r="M41" s="313"/>
      <c r="N41" s="313"/>
      <c r="O41" s="313"/>
      <c r="P41" s="313"/>
      <c r="Q41" s="313"/>
      <c r="R41" s="313"/>
      <c r="S41" s="313"/>
      <c r="T41" s="313"/>
      <c r="U41" s="313"/>
      <c r="V41" s="313"/>
      <c r="W41" s="313"/>
      <c r="X41" s="321"/>
      <c r="Y41" s="321"/>
      <c r="Z41" s="750"/>
    </row>
    <row r="42" spans="1:26" ht="7.5" customHeight="1">
      <c r="A42" s="749"/>
      <c r="B42" s="321"/>
      <c r="C42" s="321"/>
      <c r="D42" s="321"/>
      <c r="E42" s="313"/>
      <c r="F42" s="313"/>
      <c r="G42" s="313"/>
      <c r="H42" s="313"/>
      <c r="I42" s="313"/>
      <c r="J42" s="313"/>
      <c r="K42" s="313"/>
      <c r="L42" s="313"/>
      <c r="M42" s="313"/>
      <c r="N42" s="313"/>
      <c r="O42" s="313"/>
      <c r="P42" s="313"/>
      <c r="Q42" s="313"/>
      <c r="R42" s="313"/>
      <c r="S42" s="313"/>
      <c r="T42" s="313"/>
      <c r="U42" s="313"/>
      <c r="V42" s="313"/>
      <c r="W42" s="313"/>
      <c r="X42" s="321"/>
      <c r="Y42" s="321"/>
      <c r="Z42" s="750"/>
    </row>
    <row r="43" spans="1:26" ht="7.5" customHeight="1">
      <c r="A43" s="749"/>
      <c r="B43" s="321"/>
      <c r="C43" s="321"/>
      <c r="D43" s="321"/>
      <c r="E43" s="313"/>
      <c r="F43" s="313"/>
      <c r="G43" s="313"/>
      <c r="H43" s="313"/>
      <c r="I43" s="313"/>
      <c r="J43" s="313"/>
      <c r="K43" s="313"/>
      <c r="L43" s="313"/>
      <c r="M43" s="313"/>
      <c r="N43" s="313"/>
      <c r="O43" s="313"/>
      <c r="P43" s="313"/>
      <c r="Q43" s="313"/>
      <c r="R43" s="313"/>
      <c r="S43" s="313"/>
      <c r="T43" s="313"/>
      <c r="U43" s="313"/>
      <c r="V43" s="313"/>
      <c r="W43" s="313"/>
      <c r="X43" s="321"/>
      <c r="Y43" s="321"/>
      <c r="Z43" s="750"/>
    </row>
    <row r="44" spans="1:26" ht="7.5" customHeight="1">
      <c r="A44" s="749"/>
      <c r="B44" s="321"/>
      <c r="C44" s="321"/>
      <c r="D44" s="321"/>
      <c r="E44" s="313"/>
      <c r="F44" s="313"/>
      <c r="G44" s="313"/>
      <c r="H44" s="313"/>
      <c r="I44" s="313"/>
      <c r="J44" s="313"/>
      <c r="K44" s="313"/>
      <c r="L44" s="313"/>
      <c r="M44" s="313"/>
      <c r="N44" s="313"/>
      <c r="O44" s="313"/>
      <c r="P44" s="313"/>
      <c r="Q44" s="313"/>
      <c r="R44" s="313"/>
      <c r="S44" s="313"/>
      <c r="T44" s="313"/>
      <c r="U44" s="313"/>
      <c r="V44" s="313"/>
      <c r="W44" s="313"/>
      <c r="X44" s="321"/>
      <c r="Y44" s="321"/>
      <c r="Z44" s="750"/>
    </row>
    <row r="45" spans="1:26" ht="7.5" customHeight="1">
      <c r="A45" s="749"/>
      <c r="B45" s="321"/>
      <c r="C45" s="321"/>
      <c r="D45" s="321"/>
      <c r="E45" s="313"/>
      <c r="F45" s="313"/>
      <c r="G45" s="313"/>
      <c r="H45" s="313"/>
      <c r="I45" s="313"/>
      <c r="J45" s="313"/>
      <c r="K45" s="313"/>
      <c r="L45" s="313"/>
      <c r="M45" s="313"/>
      <c r="N45" s="313"/>
      <c r="O45" s="313"/>
      <c r="P45" s="313"/>
      <c r="Q45" s="313"/>
      <c r="R45" s="313"/>
      <c r="S45" s="313"/>
      <c r="T45" s="313"/>
      <c r="U45" s="313"/>
      <c r="V45" s="313"/>
      <c r="W45" s="313"/>
      <c r="X45" s="321"/>
      <c r="Y45" s="321"/>
      <c r="Z45" s="750"/>
    </row>
    <row r="46" spans="1:26" ht="7.5" customHeight="1">
      <c r="A46" s="749"/>
      <c r="B46" s="321"/>
      <c r="C46" s="321"/>
      <c r="D46" s="321"/>
      <c r="E46" s="313"/>
      <c r="F46" s="313"/>
      <c r="G46" s="313"/>
      <c r="H46" s="313"/>
      <c r="I46" s="313"/>
      <c r="J46" s="313"/>
      <c r="K46" s="313"/>
      <c r="L46" s="313"/>
      <c r="M46" s="313"/>
      <c r="N46" s="313"/>
      <c r="O46" s="313"/>
      <c r="P46" s="313"/>
      <c r="Q46" s="313"/>
      <c r="R46" s="313"/>
      <c r="S46" s="313"/>
      <c r="T46" s="313"/>
      <c r="U46" s="313"/>
      <c r="V46" s="313"/>
      <c r="W46" s="313"/>
      <c r="X46" s="321"/>
      <c r="Y46" s="321"/>
      <c r="Z46" s="750"/>
    </row>
    <row r="47" spans="1:26" ht="7.5" customHeight="1">
      <c r="A47" s="749"/>
      <c r="B47" s="321"/>
      <c r="C47" s="321"/>
      <c r="D47" s="321"/>
      <c r="E47" s="313"/>
      <c r="F47" s="313"/>
      <c r="G47" s="313"/>
      <c r="H47" s="313"/>
      <c r="I47" s="313"/>
      <c r="J47" s="313"/>
      <c r="K47" s="313"/>
      <c r="L47" s="313"/>
      <c r="M47" s="313"/>
      <c r="N47" s="313"/>
      <c r="O47" s="313"/>
      <c r="P47" s="313"/>
      <c r="Q47" s="313"/>
      <c r="R47" s="313"/>
      <c r="S47" s="313"/>
      <c r="T47" s="313"/>
      <c r="U47" s="313"/>
      <c r="V47" s="313"/>
      <c r="W47" s="313"/>
      <c r="X47" s="321"/>
      <c r="Y47" s="321"/>
      <c r="Z47" s="750"/>
    </row>
    <row r="48" spans="1:26" ht="7.5" customHeight="1">
      <c r="A48" s="749"/>
      <c r="B48" s="321"/>
      <c r="C48" s="321"/>
      <c r="D48" s="321"/>
      <c r="E48" s="313"/>
      <c r="F48" s="313"/>
      <c r="G48" s="313"/>
      <c r="H48" s="313"/>
      <c r="I48" s="313"/>
      <c r="J48" s="313"/>
      <c r="K48" s="313"/>
      <c r="L48" s="313"/>
      <c r="M48" s="313"/>
      <c r="N48" s="313"/>
      <c r="O48" s="313"/>
      <c r="P48" s="313"/>
      <c r="Q48" s="313"/>
      <c r="R48" s="313"/>
      <c r="S48" s="313"/>
      <c r="T48" s="313"/>
      <c r="U48" s="313"/>
      <c r="V48" s="313"/>
      <c r="W48" s="313"/>
      <c r="X48" s="321"/>
      <c r="Y48" s="321"/>
      <c r="Z48" s="750"/>
    </row>
    <row r="49" spans="1:39" ht="7.5" customHeight="1">
      <c r="A49" s="749"/>
      <c r="B49" s="321"/>
      <c r="C49" s="321"/>
      <c r="D49" s="321"/>
      <c r="E49" s="313"/>
      <c r="F49" s="313"/>
      <c r="G49" s="313"/>
      <c r="H49" s="313"/>
      <c r="I49" s="313"/>
      <c r="J49" s="313"/>
      <c r="K49" s="313"/>
      <c r="L49" s="313"/>
      <c r="M49" s="313"/>
      <c r="N49" s="313"/>
      <c r="O49" s="313"/>
      <c r="P49" s="313"/>
      <c r="Q49" s="313"/>
      <c r="R49" s="313"/>
      <c r="S49" s="313"/>
      <c r="T49" s="313"/>
      <c r="U49" s="313"/>
      <c r="V49" s="313"/>
      <c r="W49" s="313"/>
      <c r="X49" s="321"/>
      <c r="Y49" s="321"/>
      <c r="Z49" s="750"/>
    </row>
    <row r="50" spans="1:39" ht="7.5" customHeight="1">
      <c r="A50" s="749"/>
      <c r="B50" s="321"/>
      <c r="C50" s="321"/>
      <c r="D50" s="321"/>
      <c r="E50" s="313"/>
      <c r="F50" s="313"/>
      <c r="G50" s="313"/>
      <c r="H50" s="313"/>
      <c r="I50" s="313"/>
      <c r="J50" s="313"/>
      <c r="K50" s="313"/>
      <c r="L50" s="313"/>
      <c r="M50" s="313"/>
      <c r="N50" s="313"/>
      <c r="O50" s="313"/>
      <c r="P50" s="313"/>
      <c r="Q50" s="313"/>
      <c r="R50" s="313"/>
      <c r="S50" s="313"/>
      <c r="T50" s="313"/>
      <c r="U50" s="313"/>
      <c r="V50" s="313"/>
      <c r="W50" s="313"/>
      <c r="X50" s="321"/>
      <c r="Y50" s="321"/>
      <c r="Z50" s="750"/>
    </row>
    <row r="51" spans="1:39" ht="7.5" customHeight="1">
      <c r="A51" s="749"/>
      <c r="B51" s="321"/>
      <c r="C51" s="321"/>
      <c r="D51" s="321"/>
      <c r="E51" s="313"/>
      <c r="F51" s="313"/>
      <c r="G51" s="313"/>
      <c r="H51" s="313"/>
      <c r="I51" s="313"/>
      <c r="J51" s="313"/>
      <c r="K51" s="313"/>
      <c r="L51" s="313"/>
      <c r="M51" s="313"/>
      <c r="N51" s="313"/>
      <c r="O51" s="313"/>
      <c r="P51" s="313"/>
      <c r="Q51" s="313"/>
      <c r="R51" s="313"/>
      <c r="S51" s="313"/>
      <c r="T51" s="313"/>
      <c r="U51" s="313"/>
      <c r="V51" s="313"/>
      <c r="W51" s="313"/>
      <c r="X51" s="321"/>
      <c r="Y51" s="321"/>
      <c r="Z51" s="750"/>
    </row>
    <row r="52" spans="1:39" ht="7.5" customHeight="1">
      <c r="A52" s="749"/>
      <c r="B52" s="321"/>
      <c r="C52" s="321"/>
      <c r="D52" s="321"/>
      <c r="E52" s="313"/>
      <c r="F52" s="313"/>
      <c r="G52" s="313"/>
      <c r="H52" s="313"/>
      <c r="I52" s="313"/>
      <c r="J52" s="313"/>
      <c r="K52" s="313"/>
      <c r="L52" s="313"/>
      <c r="M52" s="313"/>
      <c r="N52" s="313"/>
      <c r="O52" s="313"/>
      <c r="P52" s="313"/>
      <c r="Q52" s="313"/>
      <c r="R52" s="313"/>
      <c r="S52" s="313"/>
      <c r="T52" s="313"/>
      <c r="U52" s="313"/>
      <c r="V52" s="313"/>
      <c r="W52" s="313"/>
      <c r="X52" s="321"/>
      <c r="Y52" s="321"/>
      <c r="Z52" s="750"/>
    </row>
    <row r="53" spans="1:39" ht="7.5" customHeight="1">
      <c r="A53" s="749"/>
      <c r="B53" s="321"/>
      <c r="C53" s="321"/>
      <c r="D53" s="321"/>
      <c r="E53" s="313"/>
      <c r="F53" s="313"/>
      <c r="G53" s="313"/>
      <c r="H53" s="313"/>
      <c r="I53" s="313"/>
      <c r="J53" s="313"/>
      <c r="K53" s="313"/>
      <c r="L53" s="313"/>
      <c r="M53" s="313"/>
      <c r="N53" s="313"/>
      <c r="O53" s="313"/>
      <c r="P53" s="313"/>
      <c r="Q53" s="313"/>
      <c r="R53" s="313"/>
      <c r="S53" s="313"/>
      <c r="T53" s="313"/>
      <c r="U53" s="313"/>
      <c r="V53" s="313"/>
      <c r="W53" s="313"/>
      <c r="X53" s="321"/>
      <c r="Y53" s="321"/>
      <c r="Z53" s="750"/>
    </row>
    <row r="54" spans="1:39" ht="7.5" customHeight="1">
      <c r="A54" s="749"/>
      <c r="B54" s="321"/>
      <c r="C54" s="321"/>
      <c r="D54" s="321"/>
      <c r="E54" s="313"/>
      <c r="F54" s="313"/>
      <c r="G54" s="313"/>
      <c r="H54" s="313"/>
      <c r="I54" s="313"/>
      <c r="J54" s="313"/>
      <c r="K54" s="313"/>
      <c r="L54" s="313"/>
      <c r="M54" s="313"/>
      <c r="N54" s="313"/>
      <c r="O54" s="313"/>
      <c r="P54" s="313"/>
      <c r="Q54" s="313"/>
      <c r="R54" s="313"/>
      <c r="S54" s="313"/>
      <c r="T54" s="313"/>
      <c r="U54" s="313"/>
      <c r="V54" s="313"/>
      <c r="W54" s="313"/>
      <c r="X54" s="321"/>
      <c r="Y54" s="321"/>
      <c r="Z54" s="750"/>
    </row>
    <row r="55" spans="1:39" ht="7.5" customHeight="1">
      <c r="A55" s="749"/>
      <c r="B55" s="321"/>
      <c r="C55" s="321"/>
      <c r="D55" s="321"/>
      <c r="E55" s="313"/>
      <c r="F55" s="313"/>
      <c r="G55" s="313"/>
      <c r="H55" s="313"/>
      <c r="I55" s="313"/>
      <c r="J55" s="313"/>
      <c r="K55" s="313"/>
      <c r="L55" s="313"/>
      <c r="M55" s="313"/>
      <c r="N55" s="313"/>
      <c r="O55" s="313"/>
      <c r="P55" s="313"/>
      <c r="Q55" s="313"/>
      <c r="R55" s="313"/>
      <c r="S55" s="313"/>
      <c r="T55" s="313"/>
      <c r="U55" s="313"/>
      <c r="V55" s="313"/>
      <c r="W55" s="313"/>
      <c r="X55" s="321"/>
      <c r="Y55" s="321"/>
      <c r="Z55" s="750"/>
    </row>
    <row r="56" spans="1:39" ht="7.5" customHeight="1">
      <c r="A56" s="749"/>
      <c r="B56" s="321"/>
      <c r="C56" s="321"/>
      <c r="D56" s="321"/>
      <c r="E56" s="313"/>
      <c r="F56" s="313"/>
      <c r="G56" s="313"/>
      <c r="H56" s="313"/>
      <c r="I56" s="313"/>
      <c r="J56" s="313"/>
      <c r="K56" s="313"/>
      <c r="L56" s="313"/>
      <c r="M56" s="313"/>
      <c r="N56" s="313"/>
      <c r="O56" s="313"/>
      <c r="P56" s="313"/>
      <c r="Q56" s="313"/>
      <c r="R56" s="313"/>
      <c r="S56" s="313"/>
      <c r="T56" s="313"/>
      <c r="U56" s="313"/>
      <c r="V56" s="313"/>
      <c r="W56" s="313"/>
      <c r="X56" s="321"/>
      <c r="Y56" s="321"/>
      <c r="Z56" s="750"/>
      <c r="AG56" s="2305"/>
      <c r="AH56" s="2305"/>
      <c r="AI56" s="2305"/>
      <c r="AJ56" s="2305"/>
      <c r="AK56" s="2305"/>
      <c r="AL56" s="2305"/>
    </row>
    <row r="57" spans="1:39" ht="7.5" customHeight="1">
      <c r="A57" s="749"/>
      <c r="B57" s="321"/>
      <c r="C57" s="321"/>
      <c r="D57" s="321"/>
      <c r="E57" s="313"/>
      <c r="F57" s="313"/>
      <c r="G57" s="313"/>
      <c r="H57" s="313"/>
      <c r="I57" s="313"/>
      <c r="J57" s="313"/>
      <c r="K57" s="313"/>
      <c r="L57" s="313"/>
      <c r="M57" s="313"/>
      <c r="N57" s="313"/>
      <c r="O57" s="313"/>
      <c r="P57" s="313"/>
      <c r="Q57" s="313"/>
      <c r="R57" s="313"/>
      <c r="S57" s="313"/>
      <c r="T57" s="313"/>
      <c r="U57" s="313"/>
      <c r="V57" s="313"/>
      <c r="W57" s="313"/>
      <c r="X57" s="321"/>
      <c r="Y57" s="321"/>
      <c r="Z57" s="750"/>
      <c r="AG57" s="2305"/>
      <c r="AH57" s="2305"/>
      <c r="AI57" s="2305"/>
      <c r="AJ57" s="2305"/>
      <c r="AK57" s="2305"/>
      <c r="AL57" s="2305"/>
    </row>
    <row r="58" spans="1:39" ht="7.5" customHeight="1">
      <c r="A58" s="749"/>
      <c r="B58" s="321"/>
      <c r="C58" s="321"/>
      <c r="D58" s="321"/>
      <c r="E58" s="313"/>
      <c r="F58" s="313"/>
      <c r="G58" s="313"/>
      <c r="H58" s="313"/>
      <c r="I58" s="313"/>
      <c r="J58" s="313"/>
      <c r="K58" s="313"/>
      <c r="L58" s="313"/>
      <c r="M58" s="313"/>
      <c r="N58" s="313"/>
      <c r="O58" s="313"/>
      <c r="P58" s="313"/>
      <c r="Q58" s="313"/>
      <c r="R58" s="313"/>
      <c r="S58" s="313"/>
      <c r="T58" s="313"/>
      <c r="U58" s="313"/>
      <c r="V58" s="313"/>
      <c r="W58" s="313"/>
      <c r="X58" s="321"/>
      <c r="Y58" s="321"/>
      <c r="Z58" s="750"/>
      <c r="AG58" s="2305"/>
      <c r="AH58" s="2305"/>
      <c r="AI58" s="2305"/>
      <c r="AJ58" s="2305"/>
      <c r="AK58" s="2305"/>
      <c r="AL58" s="2305"/>
    </row>
    <row r="59" spans="1:39" ht="7.5" customHeight="1">
      <c r="A59" s="749"/>
      <c r="B59" s="321"/>
      <c r="C59" s="321"/>
      <c r="D59" s="321"/>
      <c r="E59" s="313"/>
      <c r="F59" s="313"/>
      <c r="G59" s="313"/>
      <c r="H59" s="313"/>
      <c r="I59" s="313"/>
      <c r="J59" s="313"/>
      <c r="K59" s="313"/>
      <c r="L59" s="313"/>
      <c r="M59" s="313"/>
      <c r="N59" s="313"/>
      <c r="O59" s="313"/>
      <c r="P59" s="313"/>
      <c r="Q59" s="313"/>
      <c r="R59" s="313"/>
      <c r="S59" s="313"/>
      <c r="T59" s="313"/>
      <c r="U59" s="313"/>
      <c r="V59" s="313"/>
      <c r="W59" s="313"/>
      <c r="X59" s="321"/>
      <c r="Y59" s="321"/>
      <c r="Z59" s="750"/>
      <c r="AF59" s="2297"/>
      <c r="AG59" s="2297"/>
      <c r="AH59" s="2297"/>
      <c r="AI59" s="2297"/>
      <c r="AJ59" s="2297"/>
      <c r="AK59" s="2297"/>
      <c r="AL59" s="2297"/>
      <c r="AM59" s="2297"/>
    </row>
    <row r="60" spans="1:39" ht="7.5" customHeight="1">
      <c r="A60" s="749"/>
      <c r="B60" s="321"/>
      <c r="C60" s="321"/>
      <c r="D60" s="321"/>
      <c r="E60" s="313"/>
      <c r="F60" s="313"/>
      <c r="G60" s="313"/>
      <c r="H60" s="313"/>
      <c r="I60" s="313"/>
      <c r="J60" s="313"/>
      <c r="K60" s="313"/>
      <c r="L60" s="313"/>
      <c r="M60" s="313"/>
      <c r="N60" s="313"/>
      <c r="O60" s="313"/>
      <c r="P60" s="313"/>
      <c r="Q60" s="313"/>
      <c r="R60" s="313"/>
      <c r="S60" s="313"/>
      <c r="T60" s="313"/>
      <c r="U60" s="313"/>
      <c r="V60" s="313"/>
      <c r="W60" s="313"/>
      <c r="X60" s="321"/>
      <c r="Y60" s="321"/>
      <c r="Z60" s="750"/>
      <c r="AF60" s="2297"/>
      <c r="AG60" s="2297"/>
      <c r="AH60" s="2297"/>
      <c r="AI60" s="2297"/>
      <c r="AJ60" s="2297"/>
      <c r="AK60" s="2297"/>
      <c r="AL60" s="2297"/>
      <c r="AM60" s="2297"/>
    </row>
    <row r="61" spans="1:39" ht="7.5" customHeight="1">
      <c r="A61" s="749"/>
      <c r="B61" s="321"/>
      <c r="C61" s="321"/>
      <c r="D61" s="321"/>
      <c r="E61" s="313"/>
      <c r="F61" s="313"/>
      <c r="G61" s="313"/>
      <c r="H61" s="313"/>
      <c r="I61" s="313"/>
      <c r="J61" s="313"/>
      <c r="K61" s="313"/>
      <c r="L61" s="313"/>
      <c r="M61" s="313"/>
      <c r="N61" s="313"/>
      <c r="O61" s="313"/>
      <c r="P61" s="313"/>
      <c r="Q61" s="313"/>
      <c r="R61" s="313"/>
      <c r="S61" s="313"/>
      <c r="T61" s="313"/>
      <c r="U61" s="313"/>
      <c r="V61" s="313"/>
      <c r="W61" s="313"/>
      <c r="X61" s="321"/>
      <c r="Y61" s="321"/>
      <c r="Z61" s="750"/>
      <c r="AF61" s="2297"/>
      <c r="AG61" s="2297"/>
      <c r="AH61" s="2297"/>
      <c r="AI61" s="2297"/>
      <c r="AJ61" s="2297"/>
      <c r="AK61" s="2297"/>
      <c r="AL61" s="2297"/>
      <c r="AM61" s="2297"/>
    </row>
    <row r="62" spans="1:39" ht="7.5" customHeight="1">
      <c r="A62" s="749"/>
      <c r="B62" s="321"/>
      <c r="C62" s="321"/>
      <c r="D62" s="321"/>
      <c r="E62" s="313"/>
      <c r="F62" s="313"/>
      <c r="G62" s="313"/>
      <c r="H62" s="313"/>
      <c r="I62" s="313"/>
      <c r="J62" s="313"/>
      <c r="K62" s="313"/>
      <c r="L62" s="313"/>
      <c r="M62" s="313"/>
      <c r="N62" s="313"/>
      <c r="O62" s="313"/>
      <c r="P62" s="313"/>
      <c r="Q62" s="313"/>
      <c r="R62" s="313"/>
      <c r="S62" s="313"/>
      <c r="T62" s="313"/>
      <c r="U62" s="313"/>
      <c r="V62" s="313"/>
      <c r="W62" s="313"/>
      <c r="X62" s="321"/>
      <c r="Y62" s="321"/>
      <c r="Z62" s="750"/>
    </row>
    <row r="63" spans="1:39" ht="7.5" customHeight="1">
      <c r="A63" s="749"/>
      <c r="B63" s="321"/>
      <c r="C63" s="321"/>
      <c r="D63" s="321"/>
      <c r="E63" s="313"/>
      <c r="F63" s="313"/>
      <c r="G63" s="313"/>
      <c r="H63" s="313"/>
      <c r="I63" s="313"/>
      <c r="J63" s="313"/>
      <c r="K63" s="313"/>
      <c r="L63" s="313"/>
      <c r="M63" s="313"/>
      <c r="N63" s="313"/>
      <c r="O63" s="313"/>
      <c r="P63" s="313"/>
      <c r="Q63" s="313"/>
      <c r="R63" s="313"/>
      <c r="S63" s="313"/>
      <c r="T63" s="313"/>
      <c r="U63" s="313"/>
      <c r="V63" s="313"/>
      <c r="W63" s="313"/>
      <c r="X63" s="321"/>
      <c r="Y63" s="321"/>
      <c r="Z63" s="750"/>
    </row>
    <row r="64" spans="1:39" ht="7.5" customHeight="1">
      <c r="A64" s="749"/>
      <c r="B64" s="321"/>
      <c r="C64" s="321"/>
      <c r="D64" s="321"/>
      <c r="E64" s="313"/>
      <c r="F64" s="313"/>
      <c r="G64" s="313"/>
      <c r="H64" s="313"/>
      <c r="I64" s="313"/>
      <c r="J64" s="313"/>
      <c r="K64" s="313"/>
      <c r="L64" s="313"/>
      <c r="M64" s="313"/>
      <c r="N64" s="313"/>
      <c r="O64" s="313"/>
      <c r="P64" s="313"/>
      <c r="Q64" s="313"/>
      <c r="R64" s="313"/>
      <c r="S64" s="313"/>
      <c r="T64" s="313"/>
      <c r="U64" s="313"/>
      <c r="V64" s="313"/>
      <c r="W64" s="313"/>
      <c r="X64" s="321"/>
      <c r="Y64" s="321"/>
      <c r="Z64" s="750"/>
    </row>
    <row r="65" spans="1:26" ht="7.5" customHeight="1">
      <c r="A65" s="749"/>
      <c r="B65" s="321"/>
      <c r="C65" s="321"/>
      <c r="D65" s="321"/>
      <c r="E65" s="313"/>
      <c r="F65" s="313"/>
      <c r="G65" s="313"/>
      <c r="H65" s="313"/>
      <c r="I65" s="313"/>
      <c r="J65" s="313"/>
      <c r="K65" s="313"/>
      <c r="L65" s="313"/>
      <c r="M65" s="313"/>
      <c r="N65" s="313"/>
      <c r="O65" s="313"/>
      <c r="P65" s="313"/>
      <c r="Q65" s="313"/>
      <c r="R65" s="313"/>
      <c r="S65" s="313"/>
      <c r="T65" s="313"/>
      <c r="U65" s="313"/>
      <c r="V65" s="313"/>
      <c r="W65" s="313"/>
      <c r="X65" s="321"/>
      <c r="Y65" s="321"/>
      <c r="Z65" s="750"/>
    </row>
    <row r="66" spans="1:26" ht="7.5" customHeight="1">
      <c r="A66" s="749"/>
      <c r="B66" s="321"/>
      <c r="C66" s="321"/>
      <c r="D66" s="321"/>
      <c r="E66" s="313"/>
      <c r="F66" s="313"/>
      <c r="G66" s="313"/>
      <c r="H66" s="313"/>
      <c r="I66" s="313"/>
      <c r="J66" s="313"/>
      <c r="K66" s="313"/>
      <c r="L66" s="313"/>
      <c r="M66" s="313"/>
      <c r="N66" s="313"/>
      <c r="O66" s="313"/>
      <c r="P66" s="313"/>
      <c r="Q66" s="313"/>
      <c r="R66" s="313"/>
      <c r="S66" s="313"/>
      <c r="T66" s="313"/>
      <c r="U66" s="313"/>
      <c r="V66" s="313"/>
      <c r="W66" s="313"/>
      <c r="X66" s="321"/>
      <c r="Y66" s="321"/>
      <c r="Z66" s="750"/>
    </row>
    <row r="67" spans="1:26" ht="7.5" customHeight="1">
      <c r="A67" s="749"/>
      <c r="B67" s="321"/>
      <c r="C67" s="321"/>
      <c r="D67" s="321"/>
      <c r="E67" s="313"/>
      <c r="F67" s="313"/>
      <c r="G67" s="313"/>
      <c r="H67" s="313"/>
      <c r="I67" s="313"/>
      <c r="J67" s="313"/>
      <c r="K67" s="313"/>
      <c r="L67" s="313"/>
      <c r="M67" s="313"/>
      <c r="N67" s="313"/>
      <c r="O67" s="313"/>
      <c r="P67" s="313"/>
      <c r="Q67" s="313"/>
      <c r="R67" s="313"/>
      <c r="S67" s="313"/>
      <c r="T67" s="313"/>
      <c r="U67" s="313"/>
      <c r="V67" s="313"/>
      <c r="W67" s="313"/>
      <c r="X67" s="321"/>
      <c r="Y67" s="321"/>
      <c r="Z67" s="750"/>
    </row>
    <row r="68" spans="1:26" ht="7.5" customHeight="1">
      <c r="A68" s="749"/>
      <c r="B68" s="321"/>
      <c r="C68" s="321"/>
      <c r="D68" s="321"/>
      <c r="E68" s="313"/>
      <c r="F68" s="313"/>
      <c r="G68" s="313"/>
      <c r="H68" s="313"/>
      <c r="I68" s="313"/>
      <c r="J68" s="313"/>
      <c r="K68" s="313"/>
      <c r="L68" s="313"/>
      <c r="M68" s="313"/>
      <c r="N68" s="313"/>
      <c r="O68" s="313"/>
      <c r="P68" s="313"/>
      <c r="Q68" s="313"/>
      <c r="R68" s="313"/>
      <c r="S68" s="313"/>
      <c r="T68" s="313"/>
      <c r="U68" s="313"/>
      <c r="V68" s="313"/>
      <c r="W68" s="313"/>
      <c r="X68" s="321"/>
      <c r="Y68" s="321"/>
      <c r="Z68" s="750"/>
    </row>
    <row r="69" spans="1:26" ht="7.5" customHeight="1">
      <c r="A69" s="749"/>
      <c r="B69" s="321"/>
      <c r="C69" s="321"/>
      <c r="D69" s="321"/>
      <c r="E69" s="313"/>
      <c r="F69" s="313"/>
      <c r="G69" s="313"/>
      <c r="H69" s="313"/>
      <c r="I69" s="313"/>
      <c r="J69" s="313"/>
      <c r="K69" s="313"/>
      <c r="L69" s="313"/>
      <c r="M69" s="313"/>
      <c r="N69" s="313"/>
      <c r="O69" s="313"/>
      <c r="P69" s="313"/>
      <c r="Q69" s="313"/>
      <c r="R69" s="313"/>
      <c r="S69" s="313"/>
      <c r="T69" s="313"/>
      <c r="U69" s="313"/>
      <c r="V69" s="313"/>
      <c r="W69" s="313"/>
      <c r="X69" s="321"/>
      <c r="Y69" s="321"/>
      <c r="Z69" s="750"/>
    </row>
    <row r="70" spans="1:26" ht="7.5" customHeight="1">
      <c r="A70" s="749"/>
      <c r="B70" s="321"/>
      <c r="C70" s="321"/>
      <c r="D70" s="321"/>
      <c r="E70" s="313"/>
      <c r="F70" s="313"/>
      <c r="G70" s="313"/>
      <c r="H70" s="313"/>
      <c r="I70" s="313"/>
      <c r="J70" s="313"/>
      <c r="K70" s="313"/>
      <c r="L70" s="313"/>
      <c r="M70" s="313"/>
      <c r="N70" s="313"/>
      <c r="O70" s="313"/>
      <c r="P70" s="313"/>
      <c r="Q70" s="313"/>
      <c r="R70" s="313"/>
      <c r="S70" s="313"/>
      <c r="T70" s="313"/>
      <c r="U70" s="313"/>
      <c r="V70" s="313"/>
      <c r="W70" s="313"/>
      <c r="X70" s="321"/>
      <c r="Y70" s="321"/>
      <c r="Z70" s="750"/>
    </row>
    <row r="71" spans="1:26" ht="7.5" customHeight="1">
      <c r="A71" s="749"/>
      <c r="B71" s="321"/>
      <c r="C71" s="321"/>
      <c r="D71" s="321"/>
      <c r="E71" s="313"/>
      <c r="F71" s="313"/>
      <c r="G71" s="313"/>
      <c r="H71" s="313"/>
      <c r="I71" s="313"/>
      <c r="J71" s="313"/>
      <c r="K71" s="313"/>
      <c r="L71" s="313"/>
      <c r="M71" s="313"/>
      <c r="N71" s="313"/>
      <c r="O71" s="313"/>
      <c r="P71" s="313"/>
      <c r="Q71" s="313"/>
      <c r="R71" s="313"/>
      <c r="S71" s="313"/>
      <c r="T71" s="313"/>
      <c r="U71" s="313"/>
      <c r="V71" s="313"/>
      <c r="W71" s="313"/>
      <c r="X71" s="321"/>
      <c r="Y71" s="321"/>
      <c r="Z71" s="750"/>
    </row>
    <row r="72" spans="1:26" ht="7.5" customHeight="1">
      <c r="A72" s="749"/>
      <c r="B72" s="321"/>
      <c r="C72" s="321"/>
      <c r="D72" s="321"/>
      <c r="E72" s="313"/>
      <c r="F72" s="313"/>
      <c r="G72" s="313"/>
      <c r="H72" s="313"/>
      <c r="I72" s="313"/>
      <c r="J72" s="313"/>
      <c r="K72" s="313"/>
      <c r="L72" s="313"/>
      <c r="M72" s="313"/>
      <c r="N72" s="313"/>
      <c r="O72" s="313"/>
      <c r="P72" s="313"/>
      <c r="Q72" s="313"/>
      <c r="R72" s="313"/>
      <c r="S72" s="313"/>
      <c r="T72" s="313"/>
      <c r="U72" s="313"/>
      <c r="V72" s="313"/>
      <c r="W72" s="313"/>
      <c r="X72" s="321"/>
      <c r="Y72" s="321"/>
      <c r="Z72" s="750"/>
    </row>
    <row r="73" spans="1:26" ht="7.5" customHeight="1">
      <c r="A73" s="749"/>
      <c r="B73" s="321"/>
      <c r="C73" s="321"/>
      <c r="D73" s="321"/>
      <c r="E73" s="313"/>
      <c r="F73" s="313"/>
      <c r="G73" s="313"/>
      <c r="H73" s="313"/>
      <c r="I73" s="313"/>
      <c r="J73" s="313"/>
      <c r="K73" s="313"/>
      <c r="L73" s="313"/>
      <c r="M73" s="313"/>
      <c r="N73" s="313"/>
      <c r="O73" s="313"/>
      <c r="P73" s="313"/>
      <c r="Q73" s="313"/>
      <c r="R73" s="313"/>
      <c r="S73" s="313"/>
      <c r="T73" s="313"/>
      <c r="U73" s="313"/>
      <c r="V73" s="313"/>
      <c r="W73" s="313"/>
      <c r="X73" s="321"/>
      <c r="Y73" s="321"/>
      <c r="Z73" s="750"/>
    </row>
    <row r="74" spans="1:26" ht="7.5" customHeight="1">
      <c r="A74" s="749"/>
      <c r="B74" s="321"/>
      <c r="C74" s="321"/>
      <c r="D74" s="321"/>
      <c r="E74" s="313"/>
      <c r="F74" s="313"/>
      <c r="G74" s="313"/>
      <c r="H74" s="313"/>
      <c r="I74" s="313"/>
      <c r="J74" s="313"/>
      <c r="K74" s="313"/>
      <c r="L74" s="313"/>
      <c r="M74" s="313"/>
      <c r="N74" s="313"/>
      <c r="O74" s="313"/>
      <c r="P74" s="313"/>
      <c r="Q74" s="313"/>
      <c r="R74" s="313"/>
      <c r="S74" s="313"/>
      <c r="T74" s="313"/>
      <c r="U74" s="313"/>
      <c r="V74" s="313"/>
      <c r="W74" s="313"/>
      <c r="X74" s="321"/>
      <c r="Y74" s="321"/>
      <c r="Z74" s="750"/>
    </row>
    <row r="75" spans="1:26" ht="7.5" customHeight="1">
      <c r="A75" s="749"/>
      <c r="B75" s="321"/>
      <c r="C75" s="321"/>
      <c r="D75" s="321"/>
      <c r="E75" s="313"/>
      <c r="F75" s="313"/>
      <c r="G75" s="313"/>
      <c r="H75" s="313"/>
      <c r="I75" s="313"/>
      <c r="J75" s="313"/>
      <c r="K75" s="313"/>
      <c r="L75" s="313"/>
      <c r="M75" s="313"/>
      <c r="N75" s="313"/>
      <c r="O75" s="313"/>
      <c r="P75" s="313"/>
      <c r="Q75" s="313"/>
      <c r="R75" s="313"/>
      <c r="S75" s="313"/>
      <c r="T75" s="313"/>
      <c r="U75" s="313"/>
      <c r="V75" s="313"/>
      <c r="W75" s="313"/>
      <c r="X75" s="321"/>
      <c r="Y75" s="321"/>
      <c r="Z75" s="750"/>
    </row>
    <row r="76" spans="1:26" ht="7.5" customHeight="1">
      <c r="A76" s="749"/>
      <c r="B76" s="321"/>
      <c r="C76" s="321"/>
      <c r="D76" s="321"/>
      <c r="E76" s="313"/>
      <c r="F76" s="313"/>
      <c r="G76" s="313"/>
      <c r="H76" s="313"/>
      <c r="I76" s="313"/>
      <c r="J76" s="313"/>
      <c r="K76" s="313"/>
      <c r="L76" s="313"/>
      <c r="M76" s="313"/>
      <c r="N76" s="313"/>
      <c r="O76" s="313"/>
      <c r="P76" s="313"/>
      <c r="Q76" s="313"/>
      <c r="R76" s="313"/>
      <c r="S76" s="313"/>
      <c r="T76" s="313"/>
      <c r="U76" s="313"/>
      <c r="V76" s="313"/>
      <c r="W76" s="313"/>
      <c r="X76" s="321"/>
      <c r="Y76" s="321"/>
      <c r="Z76" s="750"/>
    </row>
    <row r="77" spans="1:26" ht="7.5" customHeight="1">
      <c r="A77" s="749"/>
      <c r="B77" s="321"/>
      <c r="C77" s="321"/>
      <c r="D77" s="321"/>
      <c r="E77" s="313"/>
      <c r="F77" s="313"/>
      <c r="G77" s="313"/>
      <c r="H77" s="313"/>
      <c r="I77" s="313"/>
      <c r="J77" s="313"/>
      <c r="K77" s="313"/>
      <c r="L77" s="313"/>
      <c r="M77" s="313"/>
      <c r="N77" s="313"/>
      <c r="O77" s="313"/>
      <c r="P77" s="313"/>
      <c r="Q77" s="313"/>
      <c r="R77" s="313"/>
      <c r="S77" s="313"/>
      <c r="T77" s="313"/>
      <c r="U77" s="313"/>
      <c r="V77" s="313"/>
      <c r="W77" s="313"/>
      <c r="X77" s="321"/>
      <c r="Y77" s="321"/>
      <c r="Z77" s="750"/>
    </row>
    <row r="78" spans="1:26" ht="7.5" customHeight="1">
      <c r="A78" s="749"/>
      <c r="B78" s="321"/>
      <c r="C78" s="321"/>
      <c r="D78" s="321"/>
      <c r="E78" s="313"/>
      <c r="F78" s="313"/>
      <c r="G78" s="313"/>
      <c r="H78" s="313"/>
      <c r="I78" s="313"/>
      <c r="J78" s="313"/>
      <c r="K78" s="313"/>
      <c r="L78" s="313"/>
      <c r="M78" s="313"/>
      <c r="N78" s="313"/>
      <c r="O78" s="313"/>
      <c r="P78" s="313"/>
      <c r="Q78" s="313"/>
      <c r="R78" s="313"/>
      <c r="S78" s="313"/>
      <c r="T78" s="313"/>
      <c r="U78" s="313"/>
      <c r="V78" s="313"/>
      <c r="W78" s="313"/>
      <c r="X78" s="321"/>
      <c r="Y78" s="321"/>
      <c r="Z78" s="750"/>
    </row>
    <row r="79" spans="1:26" ht="7.5" customHeight="1">
      <c r="A79" s="749"/>
      <c r="B79" s="321"/>
      <c r="C79" s="321"/>
      <c r="D79" s="321"/>
      <c r="E79" s="313"/>
      <c r="F79" s="313"/>
      <c r="G79" s="313"/>
      <c r="H79" s="313"/>
      <c r="I79" s="313"/>
      <c r="J79" s="313"/>
      <c r="K79" s="313"/>
      <c r="L79" s="313"/>
      <c r="M79" s="313"/>
      <c r="N79" s="313"/>
      <c r="O79" s="313"/>
      <c r="P79" s="313"/>
      <c r="Q79" s="313"/>
      <c r="R79" s="313"/>
      <c r="S79" s="313"/>
      <c r="T79" s="313"/>
      <c r="U79" s="313"/>
      <c r="V79" s="313"/>
      <c r="W79" s="313"/>
      <c r="X79" s="321"/>
      <c r="Y79" s="321"/>
      <c r="Z79" s="750"/>
    </row>
    <row r="80" spans="1:26" ht="7.5" customHeight="1">
      <c r="A80" s="749"/>
      <c r="B80" s="321"/>
      <c r="C80" s="321"/>
      <c r="D80" s="321"/>
      <c r="E80" s="313"/>
      <c r="F80" s="313"/>
      <c r="G80" s="313"/>
      <c r="H80" s="313"/>
      <c r="I80" s="313"/>
      <c r="J80" s="313"/>
      <c r="K80" s="313"/>
      <c r="L80" s="313"/>
      <c r="M80" s="313"/>
      <c r="N80" s="313"/>
      <c r="O80" s="313"/>
      <c r="P80" s="313"/>
      <c r="Q80" s="313"/>
      <c r="R80" s="313"/>
      <c r="S80" s="313"/>
      <c r="T80" s="313"/>
      <c r="U80" s="313"/>
      <c r="V80" s="313"/>
      <c r="W80" s="313"/>
      <c r="X80" s="321"/>
      <c r="Y80" s="321"/>
      <c r="Z80" s="750"/>
    </row>
    <row r="81" spans="1:26" ht="7.5" customHeight="1">
      <c r="A81" s="749"/>
      <c r="B81" s="321"/>
      <c r="C81" s="321"/>
      <c r="D81" s="321"/>
      <c r="E81" s="313"/>
      <c r="F81" s="313"/>
      <c r="G81" s="313"/>
      <c r="H81" s="313"/>
      <c r="I81" s="313"/>
      <c r="J81" s="313"/>
      <c r="K81" s="313"/>
      <c r="L81" s="313"/>
      <c r="M81" s="313"/>
      <c r="N81" s="313"/>
      <c r="O81" s="313"/>
      <c r="P81" s="313"/>
      <c r="Q81" s="313"/>
      <c r="R81" s="313"/>
      <c r="S81" s="313"/>
      <c r="T81" s="313"/>
      <c r="U81" s="313"/>
      <c r="V81" s="313"/>
      <c r="W81" s="313"/>
      <c r="X81" s="321"/>
      <c r="Y81" s="321"/>
      <c r="Z81" s="750"/>
    </row>
    <row r="82" spans="1:26" ht="7.5" customHeight="1">
      <c r="A82" s="749"/>
      <c r="B82" s="321"/>
      <c r="C82" s="321"/>
      <c r="D82" s="321"/>
      <c r="E82" s="313"/>
      <c r="F82" s="313"/>
      <c r="G82" s="313"/>
      <c r="H82" s="313"/>
      <c r="I82" s="313"/>
      <c r="J82" s="313"/>
      <c r="K82" s="313"/>
      <c r="L82" s="313"/>
      <c r="M82" s="313"/>
      <c r="N82" s="313"/>
      <c r="O82" s="313"/>
      <c r="P82" s="313"/>
      <c r="Q82" s="313"/>
      <c r="R82" s="313"/>
      <c r="S82" s="313"/>
      <c r="T82" s="313"/>
      <c r="U82" s="313"/>
      <c r="V82" s="313"/>
      <c r="W82" s="313"/>
      <c r="X82" s="321"/>
      <c r="Y82" s="321"/>
      <c r="Z82" s="750"/>
    </row>
    <row r="83" spans="1:26" ht="7.5" customHeight="1">
      <c r="A83" s="749"/>
      <c r="B83" s="321"/>
      <c r="C83" s="321" t="s">
        <v>294</v>
      </c>
      <c r="D83" s="321"/>
      <c r="E83" s="313"/>
      <c r="F83" s="313"/>
      <c r="G83" s="313"/>
      <c r="H83" s="313"/>
      <c r="I83" s="313"/>
      <c r="J83" s="313"/>
      <c r="K83" s="313"/>
      <c r="L83" s="313"/>
      <c r="M83" s="313"/>
      <c r="N83" s="313"/>
      <c r="O83" s="313"/>
      <c r="P83" s="313"/>
      <c r="Q83" s="313"/>
      <c r="R83" s="313"/>
      <c r="S83" s="313"/>
      <c r="T83" s="313"/>
      <c r="U83" s="313"/>
      <c r="V83" s="313"/>
      <c r="W83" s="313"/>
      <c r="X83" s="321"/>
      <c r="Y83" s="321"/>
      <c r="Z83" s="750"/>
    </row>
    <row r="84" spans="1:26" ht="7.5" customHeight="1">
      <c r="A84" s="749"/>
      <c r="B84" s="321"/>
      <c r="C84" s="321"/>
      <c r="D84" s="321"/>
      <c r="E84" s="313"/>
      <c r="F84" s="313"/>
      <c r="G84" s="313"/>
      <c r="H84" s="313"/>
      <c r="I84" s="313"/>
      <c r="J84" s="313"/>
      <c r="K84" s="313"/>
      <c r="L84" s="313"/>
      <c r="M84" s="313"/>
      <c r="N84" s="313"/>
      <c r="O84" s="313"/>
      <c r="P84" s="313"/>
      <c r="Q84" s="313"/>
      <c r="R84" s="313"/>
      <c r="S84" s="313"/>
      <c r="T84" s="313"/>
      <c r="U84" s="313"/>
      <c r="V84" s="313"/>
      <c r="W84" s="313"/>
      <c r="X84" s="321"/>
      <c r="Y84" s="321"/>
      <c r="Z84" s="750"/>
    </row>
    <row r="85" spans="1:26" ht="7.5" customHeight="1">
      <c r="A85" s="749"/>
      <c r="B85" s="321"/>
      <c r="C85" s="321"/>
      <c r="D85" s="321"/>
      <c r="E85" s="313"/>
      <c r="F85" s="313"/>
      <c r="G85" s="313"/>
      <c r="H85" s="313"/>
      <c r="I85" s="313"/>
      <c r="J85" s="313"/>
      <c r="K85" s="313"/>
      <c r="L85" s="313"/>
      <c r="M85" s="313"/>
      <c r="N85" s="313"/>
      <c r="O85" s="313"/>
      <c r="P85" s="313"/>
      <c r="Q85" s="313"/>
      <c r="R85" s="313"/>
      <c r="S85" s="313"/>
      <c r="T85" s="313"/>
      <c r="U85" s="313"/>
      <c r="V85" s="313"/>
      <c r="W85" s="313"/>
      <c r="X85" s="321"/>
      <c r="Y85" s="321"/>
      <c r="Z85" s="750"/>
    </row>
    <row r="86" spans="1:26" ht="7.5" customHeight="1">
      <c r="A86" s="749"/>
      <c r="B86" s="321"/>
      <c r="C86" s="321"/>
      <c r="D86" s="321"/>
      <c r="E86" s="313"/>
      <c r="F86" s="313"/>
      <c r="G86" s="313"/>
      <c r="H86" s="313"/>
      <c r="I86" s="313"/>
      <c r="J86" s="313"/>
      <c r="K86" s="313"/>
      <c r="L86" s="313"/>
      <c r="M86" s="313"/>
      <c r="N86" s="313"/>
      <c r="O86" s="313"/>
      <c r="P86" s="313"/>
      <c r="Q86" s="313"/>
      <c r="R86" s="313"/>
      <c r="S86" s="313"/>
      <c r="T86" s="313"/>
      <c r="U86" s="313"/>
      <c r="V86" s="313"/>
      <c r="W86" s="313"/>
      <c r="X86" s="321"/>
      <c r="Y86" s="321"/>
      <c r="Z86" s="750"/>
    </row>
    <row r="87" spans="1:26" ht="7.5" customHeight="1">
      <c r="A87" s="749"/>
      <c r="B87" s="321"/>
      <c r="C87" s="321"/>
      <c r="D87" s="321"/>
      <c r="E87" s="313"/>
      <c r="F87" s="313"/>
      <c r="G87" s="313"/>
      <c r="H87" s="313"/>
      <c r="I87" s="313"/>
      <c r="J87" s="313"/>
      <c r="K87" s="313"/>
      <c r="L87" s="313"/>
      <c r="M87" s="313"/>
      <c r="N87" s="313"/>
      <c r="O87" s="313"/>
      <c r="P87" s="313"/>
      <c r="Q87" s="313"/>
      <c r="R87" s="313"/>
      <c r="S87" s="313"/>
      <c r="T87" s="313"/>
      <c r="U87" s="313"/>
      <c r="V87" s="313"/>
      <c r="W87" s="313"/>
      <c r="X87" s="321"/>
      <c r="Y87" s="321"/>
      <c r="Z87" s="750"/>
    </row>
    <row r="88" spans="1:26" ht="7.5" customHeight="1">
      <c r="A88" s="749"/>
      <c r="B88" s="321"/>
      <c r="C88" s="321"/>
      <c r="D88" s="321"/>
      <c r="E88" s="313"/>
      <c r="F88" s="313"/>
      <c r="G88" s="313"/>
      <c r="H88" s="313"/>
      <c r="I88" s="313"/>
      <c r="J88" s="313"/>
      <c r="K88" s="313"/>
      <c r="L88" s="313"/>
      <c r="M88" s="313"/>
      <c r="N88" s="313"/>
      <c r="O88" s="313"/>
      <c r="P88" s="313"/>
      <c r="Q88" s="313"/>
      <c r="R88" s="313"/>
      <c r="S88" s="313"/>
      <c r="T88" s="313"/>
      <c r="U88" s="313"/>
      <c r="V88" s="313"/>
      <c r="W88" s="313"/>
      <c r="X88" s="321"/>
      <c r="Y88" s="321"/>
      <c r="Z88" s="750"/>
    </row>
    <row r="89" spans="1:26" ht="7.5" customHeight="1">
      <c r="A89" s="749"/>
      <c r="B89" s="321"/>
      <c r="C89" s="321"/>
      <c r="D89" s="321"/>
      <c r="E89" s="313"/>
      <c r="F89" s="313"/>
      <c r="G89" s="313"/>
      <c r="H89" s="313"/>
      <c r="I89" s="313"/>
      <c r="J89" s="313"/>
      <c r="K89" s="313"/>
      <c r="L89" s="313"/>
      <c r="M89" s="313"/>
      <c r="N89" s="313"/>
      <c r="O89" s="313"/>
      <c r="P89" s="313"/>
      <c r="Q89" s="313"/>
      <c r="R89" s="313"/>
      <c r="S89" s="313"/>
      <c r="T89" s="313"/>
      <c r="U89" s="313"/>
      <c r="V89" s="313"/>
      <c r="W89" s="313"/>
      <c r="X89" s="321"/>
      <c r="Y89" s="321"/>
      <c r="Z89" s="750"/>
    </row>
    <row r="90" spans="1:26" ht="7.5" customHeight="1">
      <c r="A90" s="749"/>
      <c r="B90" s="321"/>
      <c r="C90" s="321"/>
      <c r="D90" s="321"/>
      <c r="E90" s="313"/>
      <c r="F90" s="313"/>
      <c r="G90" s="313"/>
      <c r="H90" s="313"/>
      <c r="I90" s="313"/>
      <c r="J90" s="313"/>
      <c r="K90" s="313"/>
      <c r="L90" s="313"/>
      <c r="M90" s="313"/>
      <c r="N90" s="313"/>
      <c r="O90" s="313"/>
      <c r="P90" s="313"/>
      <c r="Q90" s="313"/>
      <c r="R90" s="313"/>
      <c r="S90" s="313"/>
      <c r="T90" s="313"/>
      <c r="U90" s="313"/>
      <c r="V90" s="313"/>
      <c r="W90" s="313"/>
      <c r="X90" s="321"/>
      <c r="Y90" s="321"/>
      <c r="Z90" s="750"/>
    </row>
    <row r="91" spans="1:26" ht="7.5" customHeight="1">
      <c r="A91" s="749"/>
      <c r="B91" s="321"/>
      <c r="C91" s="321"/>
      <c r="D91" s="321"/>
      <c r="E91" s="313"/>
      <c r="F91" s="313"/>
      <c r="G91" s="313"/>
      <c r="H91" s="313"/>
      <c r="I91" s="313"/>
      <c r="J91" s="313"/>
      <c r="K91" s="313"/>
      <c r="L91" s="313"/>
      <c r="M91" s="313"/>
      <c r="N91" s="313"/>
      <c r="O91" s="313"/>
      <c r="P91" s="313"/>
      <c r="Q91" s="313"/>
      <c r="R91" s="313"/>
      <c r="S91" s="313"/>
      <c r="T91" s="313"/>
      <c r="U91" s="313"/>
      <c r="V91" s="313"/>
      <c r="W91" s="313"/>
      <c r="X91" s="321"/>
      <c r="Y91" s="321"/>
      <c r="Z91" s="750"/>
    </row>
    <row r="92" spans="1:26" ht="7.5" customHeight="1">
      <c r="A92" s="749"/>
      <c r="B92" s="321"/>
      <c r="C92" s="321"/>
      <c r="D92" s="321"/>
      <c r="E92" s="313"/>
      <c r="F92" s="313"/>
      <c r="G92" s="313"/>
      <c r="H92" s="313"/>
      <c r="I92" s="313"/>
      <c r="J92" s="313"/>
      <c r="K92" s="313"/>
      <c r="L92" s="313"/>
      <c r="M92" s="313"/>
      <c r="N92" s="313"/>
      <c r="O92" s="313"/>
      <c r="P92" s="313"/>
      <c r="Q92" s="313"/>
      <c r="R92" s="313"/>
      <c r="S92" s="313"/>
      <c r="T92" s="313"/>
      <c r="U92" s="313"/>
      <c r="V92" s="313"/>
      <c r="W92" s="313"/>
      <c r="X92" s="321"/>
      <c r="Y92" s="321"/>
      <c r="Z92" s="750"/>
    </row>
    <row r="93" spans="1:26" ht="7.5" customHeight="1">
      <c r="A93" s="749"/>
      <c r="B93" s="321"/>
      <c r="C93" s="321"/>
      <c r="D93" s="321"/>
      <c r="E93" s="313"/>
      <c r="F93" s="313"/>
      <c r="G93" s="313"/>
      <c r="H93" s="313"/>
      <c r="I93" s="313"/>
      <c r="J93" s="313"/>
      <c r="K93" s="313"/>
      <c r="L93" s="313"/>
      <c r="M93" s="313"/>
      <c r="N93" s="313"/>
      <c r="O93" s="313"/>
      <c r="P93" s="313"/>
      <c r="Q93" s="313"/>
      <c r="R93" s="313"/>
      <c r="S93" s="313"/>
      <c r="T93" s="313"/>
      <c r="U93" s="313"/>
      <c r="V93" s="313"/>
      <c r="W93" s="313"/>
      <c r="X93" s="321"/>
      <c r="Y93" s="321"/>
      <c r="Z93" s="750"/>
    </row>
    <row r="94" spans="1:26" ht="7.5" customHeight="1">
      <c r="A94" s="749"/>
      <c r="B94" s="321"/>
      <c r="C94" s="321"/>
      <c r="D94" s="321"/>
      <c r="E94" s="313"/>
      <c r="F94" s="313"/>
      <c r="G94" s="313"/>
      <c r="H94" s="313"/>
      <c r="I94" s="313"/>
      <c r="J94" s="313"/>
      <c r="K94" s="313"/>
      <c r="L94" s="313"/>
      <c r="M94" s="313"/>
      <c r="N94" s="313"/>
      <c r="O94" s="313"/>
      <c r="P94" s="313"/>
      <c r="Q94" s="313"/>
      <c r="R94" s="313"/>
      <c r="S94" s="313"/>
      <c r="T94" s="313"/>
      <c r="U94" s="313"/>
      <c r="V94" s="313"/>
      <c r="W94" s="313"/>
      <c r="X94" s="321"/>
      <c r="Y94" s="321"/>
      <c r="Z94" s="750"/>
    </row>
    <row r="95" spans="1:26" ht="7.5" customHeight="1">
      <c r="A95" s="749"/>
      <c r="B95" s="321"/>
      <c r="C95" s="321"/>
      <c r="D95" s="321"/>
      <c r="E95" s="313"/>
      <c r="F95" s="313"/>
      <c r="G95" s="313"/>
      <c r="H95" s="313"/>
      <c r="I95" s="313"/>
      <c r="J95" s="313"/>
      <c r="K95" s="313"/>
      <c r="L95" s="313"/>
      <c r="M95" s="313"/>
      <c r="N95" s="313"/>
      <c r="O95" s="313"/>
      <c r="P95" s="313"/>
      <c r="Q95" s="313"/>
      <c r="R95" s="313"/>
      <c r="S95" s="313"/>
      <c r="T95" s="313"/>
      <c r="U95" s="313"/>
      <c r="V95" s="313"/>
      <c r="W95" s="313"/>
      <c r="X95" s="321"/>
      <c r="Y95" s="321"/>
      <c r="Z95" s="750"/>
    </row>
    <row r="96" spans="1:26" ht="7.5" customHeight="1">
      <c r="A96" s="749"/>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750"/>
    </row>
    <row r="97" spans="1:26" ht="7.5" customHeight="1">
      <c r="A97" s="749"/>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750"/>
    </row>
    <row r="98" spans="1:26" ht="7.5" customHeight="1">
      <c r="A98" s="749"/>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750"/>
    </row>
    <row r="99" spans="1:26" ht="7.5" customHeight="1">
      <c r="A99" s="749"/>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750"/>
    </row>
    <row r="100" spans="1:26" ht="7.5" customHeight="1">
      <c r="A100" s="749"/>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750"/>
    </row>
    <row r="101" spans="1:26" ht="7.5" customHeight="1">
      <c r="A101" s="749"/>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750"/>
    </row>
    <row r="102" spans="1:26" ht="7.5" customHeight="1">
      <c r="A102" s="749"/>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750"/>
    </row>
    <row r="103" spans="1:26" ht="7.5" customHeight="1">
      <c r="A103" s="749"/>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750"/>
    </row>
    <row r="104" spans="1:26" ht="7.5" customHeight="1">
      <c r="A104" s="749"/>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750"/>
    </row>
    <row r="105" spans="1:26" ht="7.5" customHeight="1">
      <c r="A105" s="749"/>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750"/>
    </row>
    <row r="106" spans="1:26" ht="7.5" customHeight="1">
      <c r="A106" s="749"/>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750"/>
    </row>
    <row r="107" spans="1:26" ht="7.5" customHeight="1">
      <c r="A107" s="749"/>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750"/>
    </row>
    <row r="108" spans="1:26" ht="7.5" customHeight="1">
      <c r="A108" s="749"/>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750"/>
    </row>
    <row r="109" spans="1:26" ht="7.5" customHeight="1">
      <c r="A109" s="749"/>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750"/>
    </row>
    <row r="110" spans="1:26" ht="7.5" customHeight="1">
      <c r="A110" s="749"/>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750"/>
    </row>
    <row r="111" spans="1:26" ht="7.5" customHeight="1">
      <c r="A111" s="749"/>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750"/>
    </row>
    <row r="112" spans="1:26" ht="7.5" customHeight="1">
      <c r="A112" s="749"/>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750"/>
    </row>
    <row r="113" spans="1:29" ht="7.5" customHeight="1">
      <c r="A113" s="749"/>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750"/>
    </row>
    <row r="114" spans="1:29" ht="7.5" customHeight="1">
      <c r="A114" s="749"/>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750"/>
    </row>
    <row r="115" spans="1:29" ht="7.5" customHeight="1">
      <c r="A115" s="749"/>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750"/>
    </row>
    <row r="116" spans="1:29" ht="7.5" customHeight="1">
      <c r="A116" s="749"/>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750"/>
    </row>
    <row r="117" spans="1:29" ht="7.5" customHeight="1">
      <c r="A117" s="749"/>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750"/>
    </row>
    <row r="118" spans="1:29" ht="7.5" customHeight="1">
      <c r="A118" s="749"/>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750"/>
    </row>
    <row r="119" spans="1:29" ht="7.5" customHeight="1">
      <c r="A119" s="749"/>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750"/>
    </row>
    <row r="120" spans="1:29" ht="7.5" customHeight="1">
      <c r="A120" s="749"/>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750"/>
    </row>
    <row r="121" spans="1:29" ht="7.5" customHeight="1">
      <c r="A121" s="749"/>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750"/>
    </row>
    <row r="122" spans="1:29" ht="7.5" customHeight="1">
      <c r="A122" s="749"/>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750"/>
    </row>
    <row r="123" spans="1:29" ht="15">
      <c r="A123" s="753"/>
      <c r="B123" s="754"/>
      <c r="C123" s="2309"/>
      <c r="D123" s="2309"/>
      <c r="E123" s="2309"/>
      <c r="F123" s="2309"/>
      <c r="G123" s="2309"/>
      <c r="H123" s="2309"/>
      <c r="I123" s="2309"/>
      <c r="J123" s="2309"/>
      <c r="K123" s="2309"/>
      <c r="L123" s="2309"/>
      <c r="M123" s="2309"/>
      <c r="N123" s="2309"/>
      <c r="O123" s="2309"/>
      <c r="P123" s="2309"/>
      <c r="Q123" s="2309"/>
      <c r="R123" s="2309"/>
      <c r="S123" s="2309"/>
      <c r="T123" s="2309"/>
      <c r="U123" s="2309"/>
      <c r="V123" s="2309"/>
      <c r="W123" s="2309"/>
      <c r="X123" s="2309"/>
      <c r="Y123" s="755"/>
      <c r="Z123" s="756"/>
      <c r="AB123" s="328"/>
      <c r="AC123" s="329"/>
    </row>
    <row r="124" spans="1:29" ht="3.75" customHeight="1"/>
    <row r="126" spans="1:29">
      <c r="D126" s="310">
        <v>1</v>
      </c>
      <c r="E126" s="310">
        <v>2</v>
      </c>
      <c r="F126" s="310">
        <v>3</v>
      </c>
      <c r="G126" s="310">
        <v>4</v>
      </c>
      <c r="H126" s="310">
        <v>5</v>
      </c>
      <c r="I126" s="310">
        <v>6</v>
      </c>
      <c r="J126" s="310">
        <v>7</v>
      </c>
      <c r="K126" s="310">
        <v>8</v>
      </c>
      <c r="L126" s="310">
        <v>9</v>
      </c>
      <c r="M126" s="310">
        <v>10</v>
      </c>
      <c r="N126" s="310">
        <v>11</v>
      </c>
      <c r="O126" s="310">
        <v>12</v>
      </c>
      <c r="P126" s="310">
        <v>13</v>
      </c>
      <c r="Q126" s="310">
        <v>14</v>
      </c>
    </row>
    <row r="127" spans="1:29">
      <c r="B127" s="757" t="s">
        <v>283</v>
      </c>
      <c r="C127" s="757"/>
      <c r="D127" s="417">
        <v>44805</v>
      </c>
      <c r="E127" s="417">
        <f>D127+31</f>
        <v>44836</v>
      </c>
      <c r="F127" s="417">
        <f>E127+31</f>
        <v>44867</v>
      </c>
      <c r="G127" s="417">
        <f>F127+31</f>
        <v>44898</v>
      </c>
      <c r="H127" s="417">
        <f t="shared" ref="H127:I127" si="0">G127+31</f>
        <v>44929</v>
      </c>
      <c r="I127" s="417">
        <f t="shared" si="0"/>
        <v>44960</v>
      </c>
      <c r="J127" s="417">
        <f>I127+31</f>
        <v>44991</v>
      </c>
      <c r="K127" s="417">
        <f t="shared" ref="K127:L127" si="1">J127+31</f>
        <v>45022</v>
      </c>
      <c r="L127" s="417">
        <f t="shared" si="1"/>
        <v>45053</v>
      </c>
      <c r="M127" s="417">
        <f>L127+31</f>
        <v>45084</v>
      </c>
      <c r="N127" s="417">
        <f t="shared" ref="N127:O127" si="2">M127+31</f>
        <v>45115</v>
      </c>
      <c r="O127" s="417">
        <f t="shared" si="2"/>
        <v>45146</v>
      </c>
      <c r="P127" s="417">
        <f>O127+31</f>
        <v>45177</v>
      </c>
      <c r="Q127" s="417">
        <f t="shared" ref="Q127" si="3">P127+31</f>
        <v>45208</v>
      </c>
      <c r="R127" s="417"/>
      <c r="S127" s="417"/>
    </row>
    <row r="128" spans="1:29">
      <c r="B128" s="2303" t="s">
        <v>289</v>
      </c>
      <c r="C128" s="758" t="s">
        <v>284</v>
      </c>
      <c r="D128" s="759"/>
      <c r="E128" s="759"/>
      <c r="F128" s="759">
        <f>'9.1 - CRONOGRAMA'!G56</f>
        <v>0.13931342481856979</v>
      </c>
      <c r="G128" s="759">
        <f>'9.1 - CRONOGRAMA'!H56</f>
        <v>9.592965927867747E-2</v>
      </c>
      <c r="H128" s="759">
        <f>'9.1 - CRONOGRAMA'!I56</f>
        <v>0.11102898510293562</v>
      </c>
      <c r="I128" s="759">
        <f>'9.1 - CRONOGRAMA'!J56</f>
        <v>0.11975978030849627</v>
      </c>
      <c r="J128" s="759">
        <f>'9.1 - CRONOGRAMA'!K56</f>
        <v>9.888370262270163E-2</v>
      </c>
      <c r="K128" s="759">
        <f>'9.1 - CRONOGRAMA'!L56</f>
        <v>7.9910718972199118E-2</v>
      </c>
      <c r="L128" s="759">
        <f>'9.1 - CRONOGRAMA'!M56</f>
        <v>1.9518879327696578E-2</v>
      </c>
      <c r="M128" s="759">
        <f>'9.1 - CRONOGRAMA'!N56</f>
        <v>0.22270875254326064</v>
      </c>
      <c r="N128" s="759"/>
      <c r="O128" s="759"/>
      <c r="P128" s="759"/>
      <c r="Q128" s="759"/>
      <c r="R128" s="759"/>
      <c r="S128" s="759"/>
    </row>
    <row r="129" spans="2:19">
      <c r="B129" s="2303"/>
      <c r="C129" s="758" t="s">
        <v>285</v>
      </c>
      <c r="D129" s="760">
        <f>'9.1 - CRONOGRAMA'!E57</f>
        <v>1.8670335695632798E-2</v>
      </c>
      <c r="E129" s="760">
        <f>'9.1 - CRONOGRAMA'!F57</f>
        <v>2.042569370544654E-2</v>
      </c>
      <c r="F129" s="760">
        <f>'9.1 - CRONOGRAMA'!G57</f>
        <v>1.2127080092351182E-2</v>
      </c>
      <c r="G129" s="760">
        <f>'9.1 - CRONOGRAMA'!H57</f>
        <v>5.1946835217021184E-3</v>
      </c>
      <c r="H129" s="760">
        <f>'9.1 - CRONOGRAMA'!I57</f>
        <v>2.2881133024702099E-2</v>
      </c>
      <c r="I129" s="760">
        <f>'9.1 - CRONOGRAMA'!J57</f>
        <v>0.87217815762723183</v>
      </c>
      <c r="J129" s="760">
        <f>'9.1 - CRONOGRAMA'!K57</f>
        <v>1.4556874623659025E-2</v>
      </c>
      <c r="K129" s="760">
        <f>'9.1 - CRONOGRAMA'!L57</f>
        <v>1.4556874623659025E-2</v>
      </c>
      <c r="L129" s="760">
        <f>'9.1 - CRONOGRAMA'!M57</f>
        <v>1.9409167085615561E-2</v>
      </c>
      <c r="M129" s="760"/>
      <c r="N129" s="760"/>
      <c r="O129" s="760"/>
      <c r="P129" s="760"/>
      <c r="Q129" s="760"/>
      <c r="R129" s="760"/>
      <c r="S129" s="760"/>
    </row>
    <row r="130" spans="2:19">
      <c r="B130" s="2303" t="s">
        <v>293</v>
      </c>
      <c r="C130" s="758" t="s">
        <v>284</v>
      </c>
      <c r="D130" s="759"/>
      <c r="E130" s="759"/>
      <c r="F130" s="759">
        <f>F128</f>
        <v>0.13931342481856979</v>
      </c>
      <c r="G130" s="759">
        <f>G128+F130</f>
        <v>0.23524308409724726</v>
      </c>
      <c r="H130" s="759">
        <f t="shared" ref="H130:L131" si="4">G130+H128</f>
        <v>0.34627206920018289</v>
      </c>
      <c r="I130" s="759">
        <f t="shared" si="4"/>
        <v>0.46603184950867915</v>
      </c>
      <c r="J130" s="759">
        <f t="shared" si="4"/>
        <v>0.56491555213138078</v>
      </c>
      <c r="K130" s="759">
        <f t="shared" si="4"/>
        <v>0.64482627110357993</v>
      </c>
      <c r="L130" s="759">
        <f>K130+L128</f>
        <v>0.66434515043127651</v>
      </c>
      <c r="M130" s="759">
        <f>L130+M128</f>
        <v>0.88705390297453712</v>
      </c>
      <c r="N130" s="759"/>
      <c r="O130" s="759"/>
      <c r="P130" s="759"/>
      <c r="Q130" s="759"/>
      <c r="R130" s="759"/>
      <c r="S130" s="759"/>
    </row>
    <row r="131" spans="2:19">
      <c r="B131" s="2303"/>
      <c r="C131" s="758" t="s">
        <v>285</v>
      </c>
      <c r="D131" s="760">
        <f>D129</f>
        <v>1.8670335695632798E-2</v>
      </c>
      <c r="E131" s="760">
        <f>D131+E129</f>
        <v>3.9096029401079341E-2</v>
      </c>
      <c r="F131" s="760">
        <f>E131+F129</f>
        <v>5.1223109493430521E-2</v>
      </c>
      <c r="G131" s="760">
        <f t="shared" ref="G131:I131" si="5">F131+G129</f>
        <v>5.6417793015132639E-2</v>
      </c>
      <c r="H131" s="760">
        <f t="shared" si="5"/>
        <v>7.9298926039834738E-2</v>
      </c>
      <c r="I131" s="760">
        <f t="shared" si="5"/>
        <v>0.95147708366706651</v>
      </c>
      <c r="J131" s="760">
        <f t="shared" si="4"/>
        <v>0.96603395829072558</v>
      </c>
      <c r="K131" s="760">
        <f t="shared" si="4"/>
        <v>0.98059083291438465</v>
      </c>
      <c r="L131" s="760">
        <f t="shared" si="4"/>
        <v>1.0000000000000002</v>
      </c>
      <c r="M131" s="760"/>
      <c r="N131" s="760"/>
      <c r="O131" s="760"/>
      <c r="P131" s="760"/>
      <c r="Q131" s="760"/>
      <c r="R131" s="760"/>
      <c r="S131" s="760"/>
    </row>
    <row r="132" spans="2:19">
      <c r="F132" s="310">
        <f>IF(F128='9.1 - CRONOGRAMA'!G56,1,FALSE)</f>
        <v>1</v>
      </c>
      <c r="G132" s="310">
        <f>IF(G128='9.1 - CRONOGRAMA'!H56,1,FALSE)</f>
        <v>1</v>
      </c>
      <c r="H132" s="310">
        <f>IF(H128='9.1 - CRONOGRAMA'!I56,1,FALSE)</f>
        <v>1</v>
      </c>
      <c r="I132" s="310">
        <f>IF(I128='9.1 - CRONOGRAMA'!J56,1,FALSE)</f>
        <v>1</v>
      </c>
      <c r="J132" s="310">
        <f>IF(J128='9.1 - CRONOGRAMA'!K56,1,FALSE)</f>
        <v>1</v>
      </c>
      <c r="K132" s="310">
        <f>IF(K128='9.1 - CRONOGRAMA'!L56,1,FALSE)</f>
        <v>1</v>
      </c>
      <c r="L132" s="310">
        <f>IF(L128='9.1 - CRONOGRAMA'!M56,1,FALSE)</f>
        <v>1</v>
      </c>
      <c r="M132" s="310">
        <f>IF(M128='9.1 - CRONOGRAMA'!N56,1,FALSE)</f>
        <v>1</v>
      </c>
    </row>
  </sheetData>
  <mergeCells count="7">
    <mergeCell ref="B130:B131"/>
    <mergeCell ref="E8:M8"/>
    <mergeCell ref="AG56:AL58"/>
    <mergeCell ref="AF59:AM61"/>
    <mergeCell ref="A2:Z3"/>
    <mergeCell ref="C123:X123"/>
    <mergeCell ref="B128:B129"/>
  </mergeCells>
  <printOptions horizontalCentered="1"/>
  <pageMargins left="0.23622047244094491" right="0.23622047244094491" top="0.74803149606299213" bottom="0.74803149606299213" header="0.31496062992125984" footer="0.31496062992125984"/>
  <pageSetup paperSize="9" scale="45" firstPageNumber="22"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336600"/>
    <pageSetUpPr fitToPage="1"/>
  </sheetPr>
  <dimension ref="A1:AJ54"/>
  <sheetViews>
    <sheetView showGridLines="0" view="pageBreakPreview" topLeftCell="A12" zoomScale="60" zoomScaleNormal="100" workbookViewId="0">
      <selection activeCell="R37" sqref="R37"/>
    </sheetView>
  </sheetViews>
  <sheetFormatPr defaultRowHeight="12.75"/>
  <cols>
    <col min="1" max="1" width="9.140625" style="12"/>
    <col min="2" max="2" width="14.2851562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1" width="16.140625" style="8" customWidth="1"/>
    <col min="12" max="15" width="15.7109375" style="8" customWidth="1"/>
    <col min="16" max="16" width="16.85546875" style="8" customWidth="1"/>
    <col min="17" max="18" width="15.7109375" style="8" customWidth="1"/>
    <col min="19" max="19" width="9" style="8" customWidth="1"/>
    <col min="20" max="20" width="15.7109375" style="8" customWidth="1"/>
    <col min="21" max="21" width="39.140625" style="8" customWidth="1"/>
    <col min="22" max="27" width="9.140625" style="8"/>
    <col min="28" max="28" width="12.7109375" style="15" customWidth="1"/>
    <col min="29" max="16384" width="9.140625" style="8"/>
  </cols>
  <sheetData>
    <row r="1" spans="1:36" ht="18.75" customHeight="1">
      <c r="B1" s="2652" t="s">
        <v>212</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690" t="s">
        <v>9</v>
      </c>
      <c r="C6" s="2657"/>
      <c r="D6" s="2657"/>
      <c r="E6" s="2657"/>
      <c r="F6" s="2657"/>
      <c r="G6" s="2657"/>
      <c r="H6" s="2657"/>
      <c r="I6" s="2657"/>
      <c r="J6" s="238"/>
      <c r="K6" s="2649" t="s">
        <v>10</v>
      </c>
      <c r="L6" s="2650"/>
      <c r="M6" s="2650"/>
      <c r="N6" s="2650"/>
      <c r="O6" s="2650"/>
      <c r="P6" s="2650"/>
      <c r="Q6" s="2650"/>
      <c r="R6" s="2650"/>
      <c r="S6" s="2650"/>
      <c r="T6" s="2650"/>
      <c r="U6" s="2651"/>
      <c r="V6" s="99"/>
      <c r="W6" s="99"/>
      <c r="X6" s="99"/>
      <c r="Y6" s="99"/>
      <c r="Z6" s="99"/>
      <c r="AA6" s="99"/>
      <c r="AB6" s="17"/>
    </row>
    <row r="7" spans="1:36" s="20" customFormat="1" ht="15.75">
      <c r="A7" s="19"/>
      <c r="B7" s="152" t="s">
        <v>96</v>
      </c>
      <c r="C7" s="149" t="e">
        <f>#REF!</f>
        <v>#REF!</v>
      </c>
      <c r="D7" s="145"/>
      <c r="E7" s="92"/>
      <c r="F7" s="92"/>
      <c r="G7" s="145"/>
      <c r="H7" s="92"/>
      <c r="I7" s="92"/>
      <c r="J7" s="200"/>
      <c r="K7" s="151" t="s">
        <v>190</v>
      </c>
      <c r="L7" s="239"/>
      <c r="M7" s="240"/>
      <c r="N7" s="240"/>
      <c r="O7" s="240"/>
      <c r="P7" s="240"/>
      <c r="Q7" s="240"/>
      <c r="R7" s="240"/>
      <c r="S7" s="239"/>
      <c r="T7" s="239"/>
      <c r="U7" s="241"/>
      <c r="AB7" s="21"/>
    </row>
    <row r="8" spans="1:36" s="20" customFormat="1" ht="15.75">
      <c r="A8" s="19"/>
      <c r="B8" s="148" t="s">
        <v>79</v>
      </c>
      <c r="C8" s="149" t="e">
        <f>#REF!</f>
        <v>#REF!</v>
      </c>
      <c r="D8" s="145"/>
      <c r="E8" s="92"/>
      <c r="F8" s="92"/>
      <c r="G8" s="145"/>
      <c r="H8" s="92"/>
      <c r="I8" s="92"/>
      <c r="J8" s="144"/>
      <c r="K8" s="146" t="s">
        <v>191</v>
      </c>
      <c r="L8" s="145"/>
      <c r="M8" s="145"/>
      <c r="N8" s="96"/>
      <c r="O8" s="96"/>
      <c r="P8" s="96"/>
      <c r="Q8" s="96"/>
      <c r="R8" s="96"/>
      <c r="S8" s="145"/>
      <c r="T8" s="2647"/>
      <c r="U8" s="2648"/>
      <c r="AB8" s="21"/>
    </row>
    <row r="9" spans="1:36" s="20" customFormat="1" ht="15.75">
      <c r="A9" s="19"/>
      <c r="B9" s="148" t="s">
        <v>11</v>
      </c>
      <c r="C9" s="147" t="e">
        <f>VLOOKUP(B9,[0]!_xlnm.Print_Area,2,FALSE)</f>
        <v>#REF!</v>
      </c>
      <c r="D9" s="145"/>
      <c r="E9" s="92"/>
      <c r="F9" s="92"/>
      <c r="G9" s="145"/>
      <c r="H9" s="92"/>
      <c r="I9" s="92"/>
      <c r="J9" s="144"/>
      <c r="K9" s="146" t="s">
        <v>192</v>
      </c>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147" t="e">
        <f>VLOOKUP(B10,[0]!_xlnm.Print_Area,2,FALSE)</f>
        <v>#REF!</v>
      </c>
      <c r="D10" s="145"/>
      <c r="E10" s="92"/>
      <c r="F10" s="92"/>
      <c r="G10" s="145"/>
      <c r="H10" s="92"/>
      <c r="I10" s="92"/>
      <c r="J10" s="201"/>
      <c r="K10" s="146" t="s">
        <v>193</v>
      </c>
      <c r="L10" s="92"/>
      <c r="M10" s="92"/>
      <c r="N10" s="92"/>
      <c r="O10" s="92"/>
      <c r="P10" s="202"/>
      <c r="Q10" s="92"/>
      <c r="R10" s="92"/>
      <c r="S10" s="92"/>
      <c r="T10" s="2660"/>
      <c r="U10" s="2661"/>
      <c r="AA10" s="22"/>
      <c r="AB10" s="22"/>
      <c r="AC10" s="22"/>
      <c r="AD10" s="22"/>
      <c r="AE10" s="22"/>
      <c r="AF10" s="22"/>
      <c r="AG10" s="22"/>
      <c r="AH10" s="22"/>
      <c r="AI10" s="22"/>
      <c r="AJ10" s="22"/>
    </row>
    <row r="11" spans="1:36" s="29" customFormat="1" ht="21" customHeight="1">
      <c r="A11" s="23"/>
      <c r="B11" s="143" t="str">
        <f>LEFT(A54,1)</f>
        <v>7</v>
      </c>
      <c r="C11" s="2692" t="e">
        <f>VLOOKUP(B11,#REF!,3,FALSE)</f>
        <v>#REF!</v>
      </c>
      <c r="D11" s="2693"/>
      <c r="E11" s="2693"/>
      <c r="F11" s="2693"/>
      <c r="G11" s="2693"/>
      <c r="H11" s="2693"/>
      <c r="I11" s="2693"/>
      <c r="J11" s="2693"/>
      <c r="K11" s="2693"/>
      <c r="L11" s="2693"/>
      <c r="M11" s="242"/>
      <c r="N11" s="242"/>
      <c r="O11" s="242"/>
      <c r="P11" s="242"/>
      <c r="Q11" s="242"/>
      <c r="R11" s="242"/>
      <c r="S11" s="242"/>
      <c r="T11" s="242"/>
      <c r="U11" s="243"/>
      <c r="V11" s="26"/>
      <c r="W11" s="26"/>
      <c r="X11" s="26"/>
      <c r="Y11" s="26"/>
      <c r="Z11" s="27"/>
      <c r="AA11" s="28"/>
      <c r="AB11" s="28"/>
      <c r="AC11" s="28"/>
      <c r="AD11" s="28"/>
      <c r="AE11" s="28"/>
      <c r="AF11" s="28"/>
      <c r="AG11" s="28"/>
      <c r="AH11" s="28"/>
      <c r="AI11" s="28"/>
      <c r="AJ11" s="28"/>
    </row>
    <row r="12" spans="1:36" s="29" customFormat="1" ht="24.95" customHeight="1">
      <c r="A12" s="23"/>
      <c r="B12" s="2664" t="e">
        <f>VLOOKUP(A54,#REF!,2,FALSE)</f>
        <v>#REF!</v>
      </c>
      <c r="C12" s="2665" t="e">
        <f>VLOOKUP(A54,#REF!,3,FALSE)</f>
        <v>#REF!</v>
      </c>
      <c r="D12" s="2666" t="s">
        <v>97</v>
      </c>
      <c r="E12" s="2666"/>
      <c r="F12" s="2666"/>
      <c r="G12" s="2666"/>
      <c r="H12" s="2666"/>
      <c r="I12" s="2666"/>
      <c r="J12" s="2668" t="s">
        <v>98</v>
      </c>
      <c r="K12" s="2668" t="s">
        <v>102</v>
      </c>
      <c r="L12" s="2668" t="s">
        <v>220</v>
      </c>
      <c r="M12" s="2668" t="s">
        <v>113</v>
      </c>
      <c r="N12" s="2668" t="s">
        <v>112</v>
      </c>
      <c r="O12" s="2668" t="s">
        <v>221</v>
      </c>
      <c r="P12" s="2668" t="s">
        <v>219</v>
      </c>
      <c r="Q12" s="2668" t="s">
        <v>16</v>
      </c>
      <c r="R12" s="2668" t="s">
        <v>2</v>
      </c>
      <c r="S12" s="2668" t="s">
        <v>99</v>
      </c>
      <c r="T12" s="2668" t="s">
        <v>17</v>
      </c>
      <c r="U12" s="2667" t="s">
        <v>110</v>
      </c>
      <c r="V12" s="26"/>
      <c r="W12" s="26"/>
      <c r="X12" s="26"/>
      <c r="Y12" s="26"/>
      <c r="Z12" s="27"/>
      <c r="AA12" s="28"/>
      <c r="AB12" s="28"/>
      <c r="AC12" s="28"/>
      <c r="AD12" s="28"/>
      <c r="AE12" s="28"/>
      <c r="AF12" s="28"/>
      <c r="AG12" s="28"/>
      <c r="AH12" s="28"/>
      <c r="AI12" s="28"/>
      <c r="AJ12" s="28"/>
    </row>
    <row r="13" spans="1:36" s="29" customFormat="1" ht="24.95" customHeight="1">
      <c r="A13" s="23"/>
      <c r="B13" s="2664"/>
      <c r="C13" s="2665"/>
      <c r="D13" s="2669" t="s">
        <v>14</v>
      </c>
      <c r="E13" s="2669"/>
      <c r="F13" s="2669"/>
      <c r="G13" s="2667" t="s">
        <v>15</v>
      </c>
      <c r="H13" s="2667"/>
      <c r="I13" s="2667"/>
      <c r="J13" s="2417"/>
      <c r="K13" s="2417"/>
      <c r="L13" s="2417"/>
      <c r="M13" s="2417"/>
      <c r="N13" s="2417"/>
      <c r="O13" s="2417"/>
      <c r="P13" s="2417"/>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39"/>
      <c r="C14" s="58" t="s">
        <v>201</v>
      </c>
      <c r="D14" s="82">
        <v>104</v>
      </c>
      <c r="E14" s="44" t="s">
        <v>68</v>
      </c>
      <c r="F14" s="83">
        <v>10</v>
      </c>
      <c r="G14" s="82">
        <v>114</v>
      </c>
      <c r="H14" s="44" t="s">
        <v>68</v>
      </c>
      <c r="I14" s="83">
        <v>0</v>
      </c>
      <c r="J14" s="46" t="s">
        <v>69</v>
      </c>
      <c r="K14" s="171">
        <v>190</v>
      </c>
      <c r="L14" s="171">
        <f>N14/K14</f>
        <v>1.8246315789473684</v>
      </c>
      <c r="M14" s="171">
        <v>0.13</v>
      </c>
      <c r="N14" s="216">
        <v>346.68</v>
      </c>
      <c r="O14" s="88">
        <f>TRUNC((M14*N14),3)</f>
        <v>45.067999999999998</v>
      </c>
      <c r="P14" s="235"/>
      <c r="Q14" s="222"/>
      <c r="R14" s="88">
        <f>O14</f>
        <v>45.067999999999998</v>
      </c>
      <c r="S14" s="54" t="s">
        <v>5</v>
      </c>
      <c r="T14" s="141" t="s">
        <v>80</v>
      </c>
      <c r="U14" s="39" t="s">
        <v>109</v>
      </c>
      <c r="V14" s="26"/>
      <c r="W14" s="26"/>
      <c r="X14" s="26"/>
      <c r="Y14" s="26"/>
      <c r="Z14" s="27"/>
    </row>
    <row r="15" spans="1:36" s="28" customFormat="1" ht="20.100000000000001" customHeight="1">
      <c r="A15" s="129"/>
      <c r="B15" s="139"/>
      <c r="C15" s="58" t="s">
        <v>217</v>
      </c>
      <c r="D15" s="82">
        <v>104</v>
      </c>
      <c r="E15" s="44" t="s">
        <v>68</v>
      </c>
      <c r="F15" s="83">
        <v>10</v>
      </c>
      <c r="G15" s="82">
        <v>108</v>
      </c>
      <c r="H15" s="44" t="s">
        <v>68</v>
      </c>
      <c r="I15" s="83">
        <v>19</v>
      </c>
      <c r="J15" s="46" t="s">
        <v>105</v>
      </c>
      <c r="K15" s="48">
        <v>89</v>
      </c>
      <c r="L15" s="48">
        <f>N15/K15</f>
        <v>1.7746067415730338</v>
      </c>
      <c r="M15" s="48">
        <v>0.08</v>
      </c>
      <c r="N15" s="180">
        <v>157.94</v>
      </c>
      <c r="O15" s="168">
        <f>TRUNC((M15*N15),3)</f>
        <v>12.635</v>
      </c>
      <c r="P15" s="236"/>
      <c r="Q15" s="210"/>
      <c r="R15" s="168">
        <f>O15</f>
        <v>12.635</v>
      </c>
      <c r="S15" s="54" t="s">
        <v>5</v>
      </c>
      <c r="T15" s="141" t="s">
        <v>80</v>
      </c>
      <c r="U15" s="39" t="s">
        <v>109</v>
      </c>
      <c r="V15" s="26"/>
      <c r="W15" s="26"/>
      <c r="X15" s="26"/>
      <c r="Y15" s="26"/>
      <c r="Z15" s="27"/>
      <c r="AA15" s="41"/>
      <c r="AB15" s="114"/>
    </row>
    <row r="16" spans="1:36" s="28" customFormat="1" ht="20.100000000000001" customHeight="1">
      <c r="A16" s="129"/>
      <c r="B16" s="139"/>
      <c r="C16" s="58" t="s">
        <v>217</v>
      </c>
      <c r="D16" s="82">
        <v>113</v>
      </c>
      <c r="E16" s="44" t="s">
        <v>68</v>
      </c>
      <c r="F16" s="83">
        <v>13</v>
      </c>
      <c r="G16" s="82">
        <v>116</v>
      </c>
      <c r="H16" s="44" t="s">
        <v>68</v>
      </c>
      <c r="I16" s="83">
        <v>0</v>
      </c>
      <c r="J16" s="46" t="s">
        <v>105</v>
      </c>
      <c r="K16" s="48">
        <v>47</v>
      </c>
      <c r="L16" s="48">
        <f>N16/K16</f>
        <v>0.86063829787234047</v>
      </c>
      <c r="M16" s="48">
        <v>0.08</v>
      </c>
      <c r="N16" s="180">
        <v>40.450000000000003</v>
      </c>
      <c r="O16" s="168">
        <f>TRUNC((M16*N16),3)</f>
        <v>3.2360000000000002</v>
      </c>
      <c r="P16" s="236"/>
      <c r="Q16" s="210"/>
      <c r="R16" s="168">
        <f>O16+0.001</f>
        <v>3.2370000000000001</v>
      </c>
      <c r="S16" s="54" t="s">
        <v>5</v>
      </c>
      <c r="T16" s="141" t="s">
        <v>80</v>
      </c>
      <c r="U16" s="39" t="s">
        <v>109</v>
      </c>
      <c r="V16" s="26"/>
      <c r="W16" s="26"/>
      <c r="X16" s="26"/>
      <c r="Y16" s="26"/>
      <c r="Z16" s="27"/>
      <c r="AA16" s="41"/>
      <c r="AB16" s="114"/>
    </row>
    <row r="17" spans="1:28" s="28" customFormat="1" ht="20.100000000000001" customHeight="1">
      <c r="A17" s="129"/>
      <c r="B17" s="139"/>
      <c r="C17" s="58" t="s">
        <v>217</v>
      </c>
      <c r="D17" s="82">
        <v>108</v>
      </c>
      <c r="E17" s="44" t="s">
        <v>68</v>
      </c>
      <c r="F17" s="83">
        <v>19</v>
      </c>
      <c r="G17" s="82">
        <v>113</v>
      </c>
      <c r="H17" s="44" t="s">
        <v>68</v>
      </c>
      <c r="I17" s="83">
        <v>13</v>
      </c>
      <c r="J17" s="46" t="s">
        <v>105</v>
      </c>
      <c r="K17" s="49">
        <v>94</v>
      </c>
      <c r="L17" s="50">
        <v>2.12</v>
      </c>
      <c r="M17" s="50">
        <v>0.12</v>
      </c>
      <c r="N17" s="47">
        <v>195.11</v>
      </c>
      <c r="O17" s="168">
        <f>TRUNC((M17*N17),3)</f>
        <v>23.413</v>
      </c>
      <c r="P17" s="227"/>
      <c r="Q17" s="227"/>
      <c r="R17" s="53">
        <f t="shared" ref="R17:R27" si="0">O17</f>
        <v>23.413</v>
      </c>
      <c r="S17" s="54" t="s">
        <v>5</v>
      </c>
      <c r="T17" s="141" t="s">
        <v>83</v>
      </c>
      <c r="U17" s="39" t="s">
        <v>109</v>
      </c>
      <c r="V17" s="26"/>
      <c r="W17" s="26"/>
      <c r="X17" s="26"/>
      <c r="Y17" s="26"/>
      <c r="Z17" s="27"/>
      <c r="AA17" s="41"/>
      <c r="AB17" s="114"/>
    </row>
    <row r="18" spans="1:28" s="28" customFormat="1" ht="20.100000000000001" customHeight="1">
      <c r="A18" s="129"/>
      <c r="B18" s="139"/>
      <c r="C18" s="58" t="s">
        <v>217</v>
      </c>
      <c r="D18" s="82">
        <v>302</v>
      </c>
      <c r="E18" s="44" t="s">
        <v>68</v>
      </c>
      <c r="F18" s="83">
        <v>10</v>
      </c>
      <c r="G18" s="82">
        <v>302</v>
      </c>
      <c r="H18" s="44" t="s">
        <v>68</v>
      </c>
      <c r="I18" s="83">
        <v>10</v>
      </c>
      <c r="J18" s="46" t="s">
        <v>105</v>
      </c>
      <c r="K18" s="49">
        <v>4</v>
      </c>
      <c r="L18" s="50">
        <f>N18/K18</f>
        <v>1.9624999999999999</v>
      </c>
      <c r="M18" s="50">
        <v>0.1</v>
      </c>
      <c r="N18" s="47">
        <v>7.85</v>
      </c>
      <c r="O18" s="168">
        <f>TRUNC((M18*N18),3)</f>
        <v>0.78500000000000003</v>
      </c>
      <c r="P18" s="227"/>
      <c r="Q18" s="227"/>
      <c r="R18" s="53">
        <f t="shared" si="0"/>
        <v>0.78500000000000003</v>
      </c>
      <c r="S18" s="54" t="s">
        <v>5</v>
      </c>
      <c r="T18" s="141" t="s">
        <v>83</v>
      </c>
      <c r="U18" s="39" t="s">
        <v>109</v>
      </c>
      <c r="V18" s="26"/>
      <c r="W18" s="26"/>
      <c r="X18" s="26"/>
      <c r="Y18" s="26"/>
      <c r="Z18" s="27"/>
      <c r="AA18" s="41"/>
      <c r="AB18" s="114"/>
    </row>
    <row r="19" spans="1:28" s="28" customFormat="1" ht="20.100000000000001" customHeight="1">
      <c r="A19" s="129"/>
      <c r="B19" s="139"/>
      <c r="C19" s="58" t="s">
        <v>218</v>
      </c>
      <c r="D19" s="82">
        <v>110</v>
      </c>
      <c r="E19" s="44" t="s">
        <v>68</v>
      </c>
      <c r="F19" s="83">
        <v>7</v>
      </c>
      <c r="G19" s="82">
        <v>111</v>
      </c>
      <c r="H19" s="44" t="s">
        <v>68</v>
      </c>
      <c r="I19" s="83">
        <v>14</v>
      </c>
      <c r="J19" s="46" t="s">
        <v>105</v>
      </c>
      <c r="K19" s="47">
        <f>((G19-D19)*20)+(I19-F19)</f>
        <v>27</v>
      </c>
      <c r="L19" s="50">
        <v>1.6</v>
      </c>
      <c r="M19" s="50">
        <v>0.17</v>
      </c>
      <c r="N19" s="47">
        <f>K19*L19</f>
        <v>43.2</v>
      </c>
      <c r="O19" s="168">
        <f>M19*N19</f>
        <v>7.3440000000000012</v>
      </c>
      <c r="P19" s="227"/>
      <c r="Q19" s="227"/>
      <c r="R19" s="53">
        <f t="shared" si="0"/>
        <v>7.3440000000000012</v>
      </c>
      <c r="S19" s="54" t="s">
        <v>5</v>
      </c>
      <c r="T19" s="141" t="s">
        <v>83</v>
      </c>
      <c r="U19" s="39" t="s">
        <v>109</v>
      </c>
      <c r="V19" s="26"/>
      <c r="W19" s="26"/>
      <c r="X19" s="26"/>
      <c r="Y19" s="26"/>
      <c r="Z19" s="27"/>
      <c r="AA19" s="41"/>
      <c r="AB19" s="114"/>
    </row>
    <row r="20" spans="1:28" s="28" customFormat="1" ht="20.100000000000001" customHeight="1">
      <c r="A20" s="129"/>
      <c r="B20" s="139"/>
      <c r="C20" s="58" t="s">
        <v>201</v>
      </c>
      <c r="D20" s="82">
        <v>114</v>
      </c>
      <c r="E20" s="44" t="s">
        <v>68</v>
      </c>
      <c r="F20" s="83">
        <v>0</v>
      </c>
      <c r="G20" s="82">
        <v>114</v>
      </c>
      <c r="H20" s="44" t="s">
        <v>68</v>
      </c>
      <c r="I20" s="83">
        <v>4</v>
      </c>
      <c r="J20" s="46" t="s">
        <v>69</v>
      </c>
      <c r="K20" s="211">
        <v>4.7</v>
      </c>
      <c r="L20" s="48">
        <f>N20/K20</f>
        <v>1.5212765957446808</v>
      </c>
      <c r="M20" s="48">
        <v>0.12</v>
      </c>
      <c r="N20" s="48">
        <v>7.15</v>
      </c>
      <c r="O20" s="168">
        <f t="shared" ref="O20:O26" si="1">M20*N20</f>
        <v>0.85799999999999998</v>
      </c>
      <c r="P20" s="48"/>
      <c r="Q20" s="168"/>
      <c r="R20" s="53">
        <f t="shared" si="0"/>
        <v>0.85799999999999998</v>
      </c>
      <c r="S20" s="54" t="s">
        <v>5</v>
      </c>
      <c r="T20" s="141" t="s">
        <v>88</v>
      </c>
      <c r="U20" s="39" t="s">
        <v>109</v>
      </c>
      <c r="V20" s="26"/>
      <c r="W20" s="26"/>
      <c r="X20" s="26"/>
      <c r="Y20" s="26"/>
      <c r="Z20" s="27"/>
      <c r="AA20" s="41"/>
      <c r="AB20" s="114"/>
    </row>
    <row r="21" spans="1:28" s="28" customFormat="1" ht="20.100000000000001" customHeight="1">
      <c r="A21" s="129"/>
      <c r="B21" s="139"/>
      <c r="C21" s="58" t="s">
        <v>201</v>
      </c>
      <c r="D21" s="82">
        <v>114</v>
      </c>
      <c r="E21" s="44" t="s">
        <v>68</v>
      </c>
      <c r="F21" s="83">
        <v>7</v>
      </c>
      <c r="G21" s="82">
        <v>117</v>
      </c>
      <c r="H21" s="44" t="s">
        <v>68</v>
      </c>
      <c r="I21" s="83">
        <v>14</v>
      </c>
      <c r="J21" s="46" t="s">
        <v>69</v>
      </c>
      <c r="K21" s="47">
        <v>70.2</v>
      </c>
      <c r="L21" s="48">
        <f t="shared" ref="L21:L27" si="2">N21/K21</f>
        <v>1.6139601139601139</v>
      </c>
      <c r="M21" s="48">
        <v>0.12</v>
      </c>
      <c r="N21" s="48">
        <v>113.3</v>
      </c>
      <c r="O21" s="168">
        <f t="shared" si="1"/>
        <v>13.595999999999998</v>
      </c>
      <c r="P21" s="48"/>
      <c r="Q21" s="168"/>
      <c r="R21" s="53">
        <f t="shared" si="0"/>
        <v>13.595999999999998</v>
      </c>
      <c r="S21" s="54" t="s">
        <v>5</v>
      </c>
      <c r="T21" s="141" t="s">
        <v>88</v>
      </c>
      <c r="U21" s="39" t="s">
        <v>109</v>
      </c>
      <c r="V21" s="26"/>
      <c r="W21" s="26"/>
      <c r="X21" s="26"/>
      <c r="Y21" s="26"/>
      <c r="Z21" s="27"/>
      <c r="AA21" s="41"/>
      <c r="AB21" s="114"/>
    </row>
    <row r="22" spans="1:28" s="28" customFormat="1" ht="20.100000000000001" customHeight="1">
      <c r="A22" s="129"/>
      <c r="B22" s="139"/>
      <c r="C22" s="58" t="s">
        <v>201</v>
      </c>
      <c r="D22" s="82">
        <v>118</v>
      </c>
      <c r="E22" s="44" t="s">
        <v>68</v>
      </c>
      <c r="F22" s="83">
        <v>4</v>
      </c>
      <c r="G22" s="82">
        <v>120</v>
      </c>
      <c r="H22" s="44" t="s">
        <v>68</v>
      </c>
      <c r="I22" s="83">
        <v>14</v>
      </c>
      <c r="J22" s="46" t="s">
        <v>69</v>
      </c>
      <c r="K22" s="47">
        <v>54.6</v>
      </c>
      <c r="L22" s="48">
        <f t="shared" si="2"/>
        <v>1.403113553113553</v>
      </c>
      <c r="M22" s="48">
        <v>0.12</v>
      </c>
      <c r="N22" s="48">
        <v>76.61</v>
      </c>
      <c r="O22" s="168">
        <f t="shared" si="1"/>
        <v>9.1931999999999992</v>
      </c>
      <c r="P22" s="48"/>
      <c r="Q22" s="168"/>
      <c r="R22" s="53">
        <f t="shared" si="0"/>
        <v>9.1931999999999992</v>
      </c>
      <c r="S22" s="54" t="s">
        <v>5</v>
      </c>
      <c r="T22" s="141" t="s">
        <v>88</v>
      </c>
      <c r="U22" s="39" t="s">
        <v>109</v>
      </c>
      <c r="V22" s="26"/>
      <c r="W22" s="26"/>
      <c r="X22" s="26"/>
      <c r="Y22" s="26"/>
      <c r="Z22" s="27"/>
      <c r="AA22" s="41"/>
      <c r="AB22" s="114"/>
    </row>
    <row r="23" spans="1:28" s="28" customFormat="1" ht="20.100000000000001" customHeight="1">
      <c r="A23" s="129"/>
      <c r="B23" s="139"/>
      <c r="C23" s="58" t="s">
        <v>201</v>
      </c>
      <c r="D23" s="82">
        <v>121</v>
      </c>
      <c r="E23" s="44" t="s">
        <v>68</v>
      </c>
      <c r="F23" s="83">
        <v>1</v>
      </c>
      <c r="G23" s="82">
        <v>123</v>
      </c>
      <c r="H23" s="44" t="s">
        <v>68</v>
      </c>
      <c r="I23" s="83">
        <v>6.75</v>
      </c>
      <c r="J23" s="46" t="s">
        <v>69</v>
      </c>
      <c r="K23" s="47">
        <v>25.25</v>
      </c>
      <c r="L23" s="48">
        <f t="shared" si="2"/>
        <v>3.4653465346534653</v>
      </c>
      <c r="M23" s="48">
        <v>0.12</v>
      </c>
      <c r="N23" s="180">
        <v>87.5</v>
      </c>
      <c r="O23" s="168">
        <f t="shared" si="1"/>
        <v>10.5</v>
      </c>
      <c r="P23" s="48"/>
      <c r="Q23" s="168"/>
      <c r="R23" s="53">
        <f t="shared" si="0"/>
        <v>10.5</v>
      </c>
      <c r="S23" s="54" t="s">
        <v>5</v>
      </c>
      <c r="T23" s="141" t="s">
        <v>88</v>
      </c>
      <c r="U23" s="39" t="s">
        <v>109</v>
      </c>
      <c r="V23" s="26"/>
      <c r="W23" s="26"/>
      <c r="X23" s="26"/>
      <c r="Y23" s="26"/>
      <c r="Z23" s="27"/>
      <c r="AA23" s="41"/>
      <c r="AB23" s="114"/>
    </row>
    <row r="24" spans="1:28" s="28" customFormat="1" ht="20.100000000000001" customHeight="1">
      <c r="A24" s="129"/>
      <c r="B24" s="139"/>
      <c r="C24" s="30" t="s">
        <v>201</v>
      </c>
      <c r="D24" s="31">
        <v>300</v>
      </c>
      <c r="E24" s="32" t="s">
        <v>68</v>
      </c>
      <c r="F24" s="33">
        <v>0</v>
      </c>
      <c r="G24" s="31">
        <v>302</v>
      </c>
      <c r="H24" s="32" t="s">
        <v>68</v>
      </c>
      <c r="I24" s="33">
        <v>10</v>
      </c>
      <c r="J24" s="34" t="s">
        <v>69</v>
      </c>
      <c r="K24" s="84">
        <v>54.59</v>
      </c>
      <c r="L24" s="35">
        <f t="shared" si="2"/>
        <v>4.1676131159553025</v>
      </c>
      <c r="M24" s="36">
        <v>0.08</v>
      </c>
      <c r="N24" s="81">
        <v>227.51</v>
      </c>
      <c r="O24" s="81">
        <f>M24*N24</f>
        <v>18.200800000000001</v>
      </c>
      <c r="P24" s="35"/>
      <c r="Q24" s="37"/>
      <c r="R24" s="53">
        <f t="shared" si="0"/>
        <v>18.200800000000001</v>
      </c>
      <c r="S24" s="38" t="s">
        <v>5</v>
      </c>
      <c r="T24" s="194" t="s">
        <v>90</v>
      </c>
      <c r="U24" s="39" t="s">
        <v>165</v>
      </c>
      <c r="V24" s="26"/>
      <c r="W24" s="26"/>
      <c r="X24" s="26"/>
      <c r="Y24" s="26"/>
      <c r="Z24" s="27"/>
      <c r="AA24" s="41"/>
      <c r="AB24" s="114"/>
    </row>
    <row r="25" spans="1:28" s="28" customFormat="1" ht="20.100000000000001" customHeight="1">
      <c r="A25" s="129"/>
      <c r="B25" s="139"/>
      <c r="C25" s="30" t="s">
        <v>201</v>
      </c>
      <c r="D25" s="31">
        <v>303</v>
      </c>
      <c r="E25" s="32" t="s">
        <v>68</v>
      </c>
      <c r="F25" s="33">
        <v>0</v>
      </c>
      <c r="G25" s="31">
        <v>305</v>
      </c>
      <c r="H25" s="32" t="s">
        <v>68</v>
      </c>
      <c r="I25" s="33">
        <v>2</v>
      </c>
      <c r="J25" s="34" t="s">
        <v>69</v>
      </c>
      <c r="K25" s="84">
        <v>41.64</v>
      </c>
      <c r="L25" s="35">
        <f t="shared" si="2"/>
        <v>3.3789625360230544</v>
      </c>
      <c r="M25" s="36">
        <v>0.08</v>
      </c>
      <c r="N25" s="81">
        <v>140.69999999999999</v>
      </c>
      <c r="O25" s="81">
        <f t="shared" si="1"/>
        <v>11.255999999999998</v>
      </c>
      <c r="P25" s="35"/>
      <c r="Q25" s="37"/>
      <c r="R25" s="53">
        <f t="shared" si="0"/>
        <v>11.255999999999998</v>
      </c>
      <c r="S25" s="38" t="s">
        <v>5</v>
      </c>
      <c r="T25" s="194" t="s">
        <v>90</v>
      </c>
      <c r="U25" s="39" t="s">
        <v>165</v>
      </c>
      <c r="V25" s="26"/>
      <c r="W25" s="26"/>
      <c r="X25" s="26"/>
      <c r="Y25" s="26"/>
      <c r="Z25" s="27"/>
      <c r="AA25" s="41"/>
      <c r="AB25" s="114"/>
    </row>
    <row r="26" spans="1:28" s="28" customFormat="1" ht="20.100000000000001" customHeight="1">
      <c r="A26" s="129"/>
      <c r="B26" s="139"/>
      <c r="C26" s="30" t="s">
        <v>201</v>
      </c>
      <c r="D26" s="31">
        <v>219</v>
      </c>
      <c r="E26" s="32" t="s">
        <v>68</v>
      </c>
      <c r="F26" s="33">
        <v>0</v>
      </c>
      <c r="G26" s="31">
        <v>227</v>
      </c>
      <c r="H26" s="32" t="s">
        <v>68</v>
      </c>
      <c r="I26" s="33">
        <v>16</v>
      </c>
      <c r="J26" s="34" t="s">
        <v>69</v>
      </c>
      <c r="K26" s="84">
        <v>178.97</v>
      </c>
      <c r="L26" s="35">
        <f t="shared" si="2"/>
        <v>5.5348941163323468</v>
      </c>
      <c r="M26" s="36">
        <v>0.08</v>
      </c>
      <c r="N26" s="81">
        <v>990.58</v>
      </c>
      <c r="O26" s="81">
        <f t="shared" si="1"/>
        <v>79.246400000000008</v>
      </c>
      <c r="P26" s="35"/>
      <c r="Q26" s="37"/>
      <c r="R26" s="53">
        <f t="shared" si="0"/>
        <v>79.246400000000008</v>
      </c>
      <c r="S26" s="38" t="s">
        <v>5</v>
      </c>
      <c r="T26" s="194" t="s">
        <v>90</v>
      </c>
      <c r="U26" s="39" t="s">
        <v>165</v>
      </c>
      <c r="V26" s="26"/>
      <c r="W26" s="26"/>
      <c r="X26" s="26"/>
      <c r="Y26" s="26"/>
      <c r="Z26" s="27"/>
      <c r="AA26" s="41"/>
      <c r="AB26" s="114"/>
    </row>
    <row r="27" spans="1:28" s="28" customFormat="1" ht="20.100000000000001" customHeight="1">
      <c r="A27" s="129"/>
      <c r="B27" s="139"/>
      <c r="C27" s="30" t="s">
        <v>201</v>
      </c>
      <c r="D27" s="31">
        <v>101</v>
      </c>
      <c r="E27" s="32" t="s">
        <v>68</v>
      </c>
      <c r="F27" s="33">
        <v>7</v>
      </c>
      <c r="G27" s="31">
        <v>104</v>
      </c>
      <c r="H27" s="32" t="s">
        <v>68</v>
      </c>
      <c r="I27" s="33">
        <v>0</v>
      </c>
      <c r="J27" s="34" t="s">
        <v>69</v>
      </c>
      <c r="K27" s="84">
        <v>46.3</v>
      </c>
      <c r="L27" s="35">
        <f t="shared" si="2"/>
        <v>1.957235421166307</v>
      </c>
      <c r="M27" s="36">
        <v>0.08</v>
      </c>
      <c r="N27" s="81">
        <v>90.62</v>
      </c>
      <c r="O27" s="81">
        <f>M27*N27</f>
        <v>7.2496000000000009</v>
      </c>
      <c r="P27" s="35"/>
      <c r="Q27" s="37"/>
      <c r="R27" s="53">
        <f t="shared" si="0"/>
        <v>7.2496000000000009</v>
      </c>
      <c r="S27" s="38" t="s">
        <v>5</v>
      </c>
      <c r="T27" s="194" t="s">
        <v>90</v>
      </c>
      <c r="U27" s="39" t="s">
        <v>165</v>
      </c>
      <c r="V27" s="26"/>
      <c r="W27" s="26"/>
      <c r="X27" s="26"/>
      <c r="Y27" s="26"/>
      <c r="Z27" s="27"/>
      <c r="AA27" s="41"/>
      <c r="AB27" s="114"/>
    </row>
    <row r="28" spans="1:28" s="28" customFormat="1" ht="20.100000000000001" customHeight="1">
      <c r="A28" s="129"/>
      <c r="B28" s="139"/>
      <c r="C28" s="58" t="s">
        <v>207</v>
      </c>
      <c r="D28" s="82">
        <v>307</v>
      </c>
      <c r="E28" s="44" t="s">
        <v>68</v>
      </c>
      <c r="F28" s="83">
        <v>7</v>
      </c>
      <c r="G28" s="43">
        <v>308</v>
      </c>
      <c r="H28" s="44" t="s">
        <v>68</v>
      </c>
      <c r="I28" s="45">
        <v>0</v>
      </c>
      <c r="J28" s="46" t="s">
        <v>105</v>
      </c>
      <c r="K28" s="35"/>
      <c r="L28" s="48"/>
      <c r="M28" s="49">
        <v>0.1</v>
      </c>
      <c r="N28" s="50">
        <v>85.15</v>
      </c>
      <c r="O28" s="204">
        <f>M28*N28</f>
        <v>8.5150000000000006</v>
      </c>
      <c r="P28" s="48"/>
      <c r="Q28" s="53"/>
      <c r="R28" s="53">
        <f>M28*N28</f>
        <v>8.5150000000000006</v>
      </c>
      <c r="S28" s="54" t="s">
        <v>5</v>
      </c>
      <c r="T28" s="141" t="s">
        <v>93</v>
      </c>
      <c r="U28" s="167" t="s">
        <v>226</v>
      </c>
      <c r="V28" s="26"/>
      <c r="W28" s="26"/>
      <c r="X28" s="26"/>
      <c r="Y28" s="26"/>
      <c r="Z28" s="27"/>
      <c r="AA28" s="41"/>
      <c r="AB28" s="114"/>
    </row>
    <row r="29" spans="1:28" s="28" customFormat="1" ht="20.100000000000001" customHeight="1">
      <c r="A29" s="129"/>
      <c r="B29" s="139"/>
      <c r="C29" s="79"/>
      <c r="D29" s="85"/>
      <c r="E29" s="86"/>
      <c r="F29" s="87"/>
      <c r="G29" s="85"/>
      <c r="H29" s="86"/>
      <c r="I29" s="87"/>
      <c r="J29" s="138"/>
      <c r="K29" s="137"/>
      <c r="L29" s="134"/>
      <c r="M29" s="136"/>
      <c r="N29" s="135"/>
      <c r="O29" s="135"/>
      <c r="P29" s="134"/>
      <c r="Q29" s="133"/>
      <c r="R29" s="133"/>
      <c r="S29" s="132"/>
      <c r="T29" s="131"/>
      <c r="U29" s="130"/>
      <c r="V29" s="26"/>
      <c r="W29" s="26"/>
      <c r="X29" s="26"/>
      <c r="Y29" s="26"/>
      <c r="Z29" s="27"/>
      <c r="AA29" s="41"/>
      <c r="AB29" s="114"/>
    </row>
    <row r="30" spans="1:28" s="28" customFormat="1" ht="20.100000000000001" customHeight="1">
      <c r="A30" s="129"/>
      <c r="B30" s="139"/>
      <c r="C30" s="79"/>
      <c r="D30" s="85"/>
      <c r="E30" s="86"/>
      <c r="F30" s="87"/>
      <c r="G30" s="85"/>
      <c r="H30" s="86"/>
      <c r="I30" s="87"/>
      <c r="J30" s="138"/>
      <c r="K30" s="137"/>
      <c r="L30" s="134"/>
      <c r="M30" s="136"/>
      <c r="N30" s="135"/>
      <c r="O30" s="135"/>
      <c r="P30" s="134"/>
      <c r="Q30" s="133"/>
      <c r="R30" s="133"/>
      <c r="S30" s="132"/>
      <c r="T30" s="131"/>
      <c r="U30" s="130"/>
      <c r="V30" s="26"/>
      <c r="W30" s="26"/>
      <c r="X30" s="26"/>
      <c r="Y30" s="26"/>
      <c r="Z30" s="27"/>
      <c r="AA30" s="41"/>
      <c r="AB30" s="114"/>
    </row>
    <row r="31" spans="1:28" s="28" customFormat="1" ht="20.100000000000001" customHeight="1">
      <c r="A31" s="129"/>
      <c r="B31" s="139"/>
      <c r="C31" s="79"/>
      <c r="D31" s="85"/>
      <c r="E31" s="86"/>
      <c r="F31" s="87"/>
      <c r="G31" s="85"/>
      <c r="H31" s="86"/>
      <c r="I31" s="87"/>
      <c r="J31" s="138"/>
      <c r="K31" s="137"/>
      <c r="L31" s="134"/>
      <c r="M31" s="136"/>
      <c r="N31" s="135"/>
      <c r="O31" s="135"/>
      <c r="P31" s="134"/>
      <c r="Q31" s="133"/>
      <c r="R31" s="133"/>
      <c r="S31" s="132"/>
      <c r="T31" s="131"/>
      <c r="U31" s="130"/>
      <c r="V31" s="26"/>
      <c r="W31" s="26"/>
      <c r="X31" s="26"/>
      <c r="Y31" s="26"/>
      <c r="Z31" s="27"/>
      <c r="AA31" s="41"/>
      <c r="AB31" s="114"/>
    </row>
    <row r="32" spans="1:28" s="28" customFormat="1" ht="20.100000000000001" customHeight="1">
      <c r="A32" s="129"/>
      <c r="B32" s="139"/>
      <c r="C32" s="79"/>
      <c r="D32" s="85"/>
      <c r="E32" s="86"/>
      <c r="F32" s="87"/>
      <c r="G32" s="85"/>
      <c r="H32" s="86"/>
      <c r="I32" s="87"/>
      <c r="J32" s="138"/>
      <c r="K32" s="137"/>
      <c r="L32" s="134"/>
      <c r="M32" s="136"/>
      <c r="N32" s="135"/>
      <c r="O32" s="135"/>
      <c r="P32" s="134"/>
      <c r="Q32" s="133"/>
      <c r="R32" s="133"/>
      <c r="S32" s="132"/>
      <c r="T32" s="131"/>
      <c r="U32" s="130"/>
      <c r="V32" s="26"/>
      <c r="W32" s="26"/>
      <c r="X32" s="26"/>
      <c r="Y32" s="26"/>
      <c r="Z32" s="27"/>
      <c r="AA32" s="41"/>
      <c r="AB32" s="114"/>
    </row>
    <row r="33" spans="1:28" s="28" customFormat="1" ht="20.100000000000001" customHeight="1">
      <c r="A33" s="129"/>
      <c r="B33" s="139"/>
      <c r="C33" s="79"/>
      <c r="D33" s="85"/>
      <c r="E33" s="86"/>
      <c r="F33" s="87"/>
      <c r="G33" s="85"/>
      <c r="H33" s="86"/>
      <c r="I33" s="87"/>
      <c r="J33" s="138"/>
      <c r="K33" s="137"/>
      <c r="L33" s="134"/>
      <c r="M33" s="136"/>
      <c r="N33" s="135"/>
      <c r="O33" s="135"/>
      <c r="P33" s="134"/>
      <c r="Q33" s="133"/>
      <c r="R33" s="133"/>
      <c r="S33" s="132"/>
      <c r="T33" s="131"/>
      <c r="U33" s="130"/>
      <c r="V33" s="26"/>
      <c r="W33" s="26"/>
      <c r="X33" s="26"/>
      <c r="Y33" s="26"/>
      <c r="Z33" s="27"/>
      <c r="AA33" s="41"/>
      <c r="AB33" s="114"/>
    </row>
    <row r="34" spans="1:28" s="28" customFormat="1" ht="20.100000000000001" customHeight="1">
      <c r="A34" s="129"/>
      <c r="B34" s="139"/>
      <c r="C34" s="79"/>
      <c r="D34" s="85"/>
      <c r="E34" s="86"/>
      <c r="F34" s="87"/>
      <c r="G34" s="85"/>
      <c r="H34" s="86"/>
      <c r="I34" s="87"/>
      <c r="J34" s="138"/>
      <c r="K34" s="137"/>
      <c r="L34" s="134"/>
      <c r="M34" s="136"/>
      <c r="N34" s="135"/>
      <c r="O34" s="135"/>
      <c r="P34" s="134"/>
      <c r="Q34" s="133"/>
      <c r="R34" s="133"/>
      <c r="S34" s="132"/>
      <c r="T34" s="131"/>
      <c r="U34" s="130"/>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133"/>
      <c r="R35" s="133"/>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133"/>
      <c r="R36" s="133"/>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133"/>
      <c r="R37" s="133"/>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28" customFormat="1" ht="20.100000000000001" customHeight="1">
      <c r="A48" s="129"/>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114"/>
    </row>
    <row r="49" spans="1:28" s="9" customFormat="1" ht="20.100000000000001" customHeight="1">
      <c r="A49" s="14"/>
      <c r="B49" s="139"/>
      <c r="C49" s="79"/>
      <c r="D49" s="85"/>
      <c r="E49" s="86"/>
      <c r="F49" s="87"/>
      <c r="G49" s="85"/>
      <c r="H49" s="86"/>
      <c r="I49" s="87"/>
      <c r="J49" s="138"/>
      <c r="K49" s="137"/>
      <c r="L49" s="134"/>
      <c r="M49" s="136"/>
      <c r="N49" s="135"/>
      <c r="O49" s="135"/>
      <c r="P49" s="134"/>
      <c r="Q49" s="133"/>
      <c r="R49" s="133"/>
      <c r="S49" s="132"/>
      <c r="T49" s="131"/>
      <c r="U49" s="130"/>
      <c r="V49" s="26"/>
      <c r="W49" s="26"/>
      <c r="X49" s="26"/>
      <c r="Y49" s="26"/>
      <c r="Z49" s="27"/>
      <c r="AA49" s="41"/>
      <c r="AB49" s="42"/>
    </row>
    <row r="50" spans="1:28" s="28" customFormat="1" ht="20.100000000000001" customHeight="1">
      <c r="A50" s="129"/>
      <c r="B50" s="139"/>
      <c r="C50" s="79"/>
      <c r="D50" s="85"/>
      <c r="E50" s="86"/>
      <c r="F50" s="87"/>
      <c r="G50" s="85"/>
      <c r="H50" s="86"/>
      <c r="I50" s="87"/>
      <c r="J50" s="138"/>
      <c r="K50" s="137"/>
      <c r="L50" s="134"/>
      <c r="M50" s="136"/>
      <c r="N50" s="135"/>
      <c r="O50" s="135"/>
      <c r="P50" s="134"/>
      <c r="Q50" s="133"/>
      <c r="R50" s="133"/>
      <c r="S50" s="132"/>
      <c r="T50" s="131"/>
      <c r="U50" s="130"/>
      <c r="V50" s="26"/>
      <c r="W50" s="26"/>
      <c r="X50" s="26"/>
      <c r="Y50" s="26"/>
      <c r="Z50" s="27"/>
      <c r="AA50" s="41"/>
      <c r="AB50" s="114"/>
    </row>
    <row r="51" spans="1:28" s="28" customFormat="1" ht="20.100000000000001" customHeight="1">
      <c r="A51" s="129"/>
      <c r="B51" s="128"/>
      <c r="C51" s="127"/>
      <c r="D51" s="126"/>
      <c r="E51" s="125"/>
      <c r="F51" s="124"/>
      <c r="G51" s="126"/>
      <c r="H51" s="125"/>
      <c r="I51" s="124"/>
      <c r="J51" s="123"/>
      <c r="K51" s="122"/>
      <c r="L51" s="119"/>
      <c r="M51" s="121"/>
      <c r="N51" s="120"/>
      <c r="O51" s="120"/>
      <c r="P51" s="119"/>
      <c r="Q51" s="118"/>
      <c r="R51" s="118"/>
      <c r="S51" s="117"/>
      <c r="T51" s="116"/>
      <c r="U51" s="115"/>
      <c r="V51" s="26"/>
      <c r="W51" s="26"/>
      <c r="X51" s="26"/>
      <c r="Y51" s="26"/>
      <c r="Z51" s="27"/>
      <c r="AA51" s="41"/>
      <c r="AB51" s="114"/>
    </row>
    <row r="52" spans="1:28" ht="20.100000000000001" customHeight="1">
      <c r="B52" s="213"/>
      <c r="C52" s="73"/>
      <c r="D52" s="2670" t="s">
        <v>18</v>
      </c>
      <c r="E52" s="2671"/>
      <c r="F52" s="2671"/>
      <c r="G52" s="2671"/>
      <c r="H52" s="2671"/>
      <c r="I52" s="2672"/>
      <c r="J52" s="2694" t="e">
        <f>VLOOKUP(A54,#REF!,6,FALSE)</f>
        <v>#REF!</v>
      </c>
      <c r="K52" s="2695"/>
      <c r="L52" s="112" t="s">
        <v>5</v>
      </c>
      <c r="M52" s="2696" t="s">
        <v>19</v>
      </c>
      <c r="N52" s="2697"/>
      <c r="O52" s="2697"/>
      <c r="P52" s="2697"/>
      <c r="Q52" s="2698"/>
      <c r="R52" s="111">
        <f>SUM(R14:R51)</f>
        <v>251.09699999999998</v>
      </c>
      <c r="S52" s="110" t="str">
        <f>L52</f>
        <v>m³</v>
      </c>
      <c r="T52" s="101"/>
      <c r="U52" s="100"/>
    </row>
    <row r="53" spans="1:28" ht="20.100000000000001" customHeight="1">
      <c r="B53" s="109"/>
      <c r="C53" s="72"/>
      <c r="D53" s="2740" t="s">
        <v>20</v>
      </c>
      <c r="E53" s="2741"/>
      <c r="F53" s="2741"/>
      <c r="G53" s="2741"/>
      <c r="H53" s="2741"/>
      <c r="I53" s="2742"/>
      <c r="J53" s="2743" t="e">
        <f>R52/J52</f>
        <v>#REF!</v>
      </c>
      <c r="K53" s="2744"/>
      <c r="L53" s="2745"/>
      <c r="M53" s="2696" t="s">
        <v>21</v>
      </c>
      <c r="N53" s="2697"/>
      <c r="O53" s="2697"/>
      <c r="P53" s="2697"/>
      <c r="Q53" s="2698"/>
      <c r="R53" s="111">
        <f>SUM(R14:R28)</f>
        <v>251.09699999999998</v>
      </c>
      <c r="S53" s="237" t="str">
        <f>L52</f>
        <v>m³</v>
      </c>
      <c r="T53" s="106"/>
      <c r="U53" s="105"/>
    </row>
    <row r="54" spans="1:28" ht="20.100000000000001" customHeight="1">
      <c r="A54" s="12" t="s">
        <v>187</v>
      </c>
      <c r="B54" s="213"/>
      <c r="C54" s="73"/>
      <c r="D54" s="2670"/>
      <c r="E54" s="2671"/>
      <c r="F54" s="2671"/>
      <c r="G54" s="2671"/>
      <c r="H54" s="2671"/>
      <c r="I54" s="2672"/>
      <c r="J54" s="2701"/>
      <c r="K54" s="2702"/>
      <c r="L54" s="2704"/>
      <c r="M54" s="2705" t="s">
        <v>22</v>
      </c>
      <c r="N54" s="2706"/>
      <c r="O54" s="2706"/>
      <c r="P54" s="2706"/>
      <c r="Q54" s="2707"/>
      <c r="R54" s="103">
        <f>R52-R53</f>
        <v>0</v>
      </c>
      <c r="S54" s="102" t="str">
        <f>L52</f>
        <v>m³</v>
      </c>
      <c r="T54" s="101"/>
      <c r="U54" s="100"/>
    </row>
  </sheetData>
  <mergeCells count="33">
    <mergeCell ref="D52:I52"/>
    <mergeCell ref="J52:K52"/>
    <mergeCell ref="M52:Q52"/>
    <mergeCell ref="N12:N13"/>
    <mergeCell ref="O12:O13"/>
    <mergeCell ref="Q12:Q13"/>
    <mergeCell ref="L12:L13"/>
    <mergeCell ref="D53:I54"/>
    <mergeCell ref="J53:K54"/>
    <mergeCell ref="L53:L54"/>
    <mergeCell ref="M53:Q53"/>
    <mergeCell ref="M54:Q54"/>
    <mergeCell ref="V5:AA5"/>
    <mergeCell ref="B6:I6"/>
    <mergeCell ref="T8:U8"/>
    <mergeCell ref="B12:B13"/>
    <mergeCell ref="C12:C13"/>
    <mergeCell ref="D12:I12"/>
    <mergeCell ref="J12:J13"/>
    <mergeCell ref="K12:K13"/>
    <mergeCell ref="U12:U13"/>
    <mergeCell ref="R12:R13"/>
    <mergeCell ref="S12:S13"/>
    <mergeCell ref="D13:F13"/>
    <mergeCell ref="P12:P13"/>
    <mergeCell ref="C11:L11"/>
    <mergeCell ref="T12:T13"/>
    <mergeCell ref="K6:U6"/>
    <mergeCell ref="T9:U9"/>
    <mergeCell ref="M12:M13"/>
    <mergeCell ref="T10:U10"/>
    <mergeCell ref="G13:I13"/>
    <mergeCell ref="B1:U5"/>
  </mergeCells>
  <conditionalFormatting sqref="J53:K54">
    <cfRule type="cellIs" dxfId="23" priority="1" operator="greaterThanOrEqual">
      <formula>1</formula>
    </cfRule>
    <cfRule type="cellIs" dxfId="22" priority="2" operator="greaterThan">
      <formula>100%</formula>
    </cfRule>
  </conditionalFormatting>
  <printOptions horizontalCentered="1"/>
  <pageMargins left="0.39370078740157483" right="0.39370078740157483" top="0.78740157480314965" bottom="0.78740157480314965" header="0" footer="0.19685039370078741"/>
  <pageSetup paperSize="9" scale="44" firstPageNumber="46" fitToHeight="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446A2C"/>
    <pageSetUpPr fitToPage="1"/>
  </sheetPr>
  <dimension ref="A1:AJ52"/>
  <sheetViews>
    <sheetView view="pageBreakPreview" topLeftCell="A10" zoomScale="60" zoomScaleNormal="100" workbookViewId="0">
      <selection activeCell="U32" sqref="U32"/>
    </sheetView>
  </sheetViews>
  <sheetFormatPr defaultRowHeight="12.75"/>
  <cols>
    <col min="1" max="1" width="9.140625" style="12"/>
    <col min="2" max="2" width="14.2851562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1" width="16.42578125" style="8" customWidth="1"/>
    <col min="12" max="15" width="15.7109375" style="8" customWidth="1"/>
    <col min="16" max="16" width="16.85546875" style="8" customWidth="1"/>
    <col min="17" max="18" width="15.7109375" style="8" customWidth="1"/>
    <col min="19" max="19" width="9" style="8" customWidth="1"/>
    <col min="20" max="20" width="15.7109375" style="8" customWidth="1"/>
    <col min="21" max="21" width="38.140625" style="8" bestFit="1" customWidth="1"/>
    <col min="22" max="27" width="9.140625" style="8"/>
    <col min="28" max="28" width="12.7109375" style="15" customWidth="1"/>
    <col min="29" max="16384" width="9.140625" style="8"/>
  </cols>
  <sheetData>
    <row r="1" spans="1:36" ht="18.75" customHeight="1">
      <c r="B1" s="2652" t="s">
        <v>212</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690" t="s">
        <v>9</v>
      </c>
      <c r="C6" s="2657"/>
      <c r="D6" s="2657"/>
      <c r="E6" s="2657"/>
      <c r="F6" s="2657"/>
      <c r="G6" s="2657"/>
      <c r="H6" s="2657"/>
      <c r="I6" s="2657"/>
      <c r="J6" s="238"/>
      <c r="K6" s="2649" t="s">
        <v>10</v>
      </c>
      <c r="L6" s="2650"/>
      <c r="M6" s="2650"/>
      <c r="N6" s="2650"/>
      <c r="O6" s="2650"/>
      <c r="P6" s="2650"/>
      <c r="Q6" s="2650"/>
      <c r="R6" s="2650"/>
      <c r="S6" s="2650"/>
      <c r="T6" s="2650"/>
      <c r="U6" s="2651"/>
      <c r="V6" s="99"/>
      <c r="W6" s="99"/>
      <c r="X6" s="99"/>
      <c r="Y6" s="99"/>
      <c r="Z6" s="99"/>
      <c r="AA6" s="99"/>
      <c r="AB6" s="17"/>
    </row>
    <row r="7" spans="1:36" s="20" customFormat="1" ht="15.75">
      <c r="A7" s="19"/>
      <c r="B7" s="152" t="s">
        <v>96</v>
      </c>
      <c r="C7" s="149" t="e">
        <f>#REF!</f>
        <v>#REF!</v>
      </c>
      <c r="D7" s="145"/>
      <c r="E7" s="92"/>
      <c r="F7" s="92"/>
      <c r="G7" s="145"/>
      <c r="H7" s="92"/>
      <c r="I7" s="92"/>
      <c r="J7" s="200"/>
      <c r="K7" s="151" t="s">
        <v>190</v>
      </c>
      <c r="L7" s="239"/>
      <c r="M7" s="240"/>
      <c r="N7" s="240"/>
      <c r="O7" s="240"/>
      <c r="P7" s="240"/>
      <c r="Q7" s="240"/>
      <c r="R7" s="240"/>
      <c r="S7" s="239"/>
      <c r="T7" s="239"/>
      <c r="U7" s="241"/>
      <c r="AB7" s="21"/>
    </row>
    <row r="8" spans="1:36" s="20" customFormat="1" ht="15.75">
      <c r="A8" s="19"/>
      <c r="B8" s="148" t="s">
        <v>79</v>
      </c>
      <c r="C8" s="149" t="e">
        <f>#REF!</f>
        <v>#REF!</v>
      </c>
      <c r="D8" s="145"/>
      <c r="E8" s="92"/>
      <c r="F8" s="92"/>
      <c r="G8" s="145"/>
      <c r="H8" s="92"/>
      <c r="I8" s="92"/>
      <c r="J8" s="144"/>
      <c r="K8" s="146" t="s">
        <v>191</v>
      </c>
      <c r="L8" s="145"/>
      <c r="M8" s="145"/>
      <c r="N8" s="96"/>
      <c r="O8" s="96"/>
      <c r="P8" s="96"/>
      <c r="Q8" s="96"/>
      <c r="R8" s="96"/>
      <c r="S8" s="145"/>
      <c r="T8" s="2647"/>
      <c r="U8" s="2648"/>
      <c r="AB8" s="21"/>
    </row>
    <row r="9" spans="1:36" s="20" customFormat="1" ht="15.75">
      <c r="A9" s="19"/>
      <c r="B9" s="148" t="s">
        <v>11</v>
      </c>
      <c r="C9" s="147" t="e">
        <f>VLOOKUP(B9,[0]!_xlnm.Print_Area,2,FALSE)</f>
        <v>#REF!</v>
      </c>
      <c r="D9" s="145"/>
      <c r="E9" s="92"/>
      <c r="F9" s="92"/>
      <c r="G9" s="145"/>
      <c r="H9" s="92"/>
      <c r="I9" s="92"/>
      <c r="J9" s="144"/>
      <c r="K9" s="146" t="s">
        <v>192</v>
      </c>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147" t="e">
        <f>VLOOKUP(B10,[0]!_xlnm.Print_Area,2,FALSE)</f>
        <v>#REF!</v>
      </c>
      <c r="D10" s="145"/>
      <c r="E10" s="92"/>
      <c r="F10" s="92"/>
      <c r="G10" s="145"/>
      <c r="H10" s="92"/>
      <c r="I10" s="92"/>
      <c r="J10" s="201"/>
      <c r="K10" s="146" t="s">
        <v>193</v>
      </c>
      <c r="L10" s="92"/>
      <c r="M10" s="92"/>
      <c r="N10" s="92"/>
      <c r="O10" s="92"/>
      <c r="P10" s="202"/>
      <c r="Q10" s="92"/>
      <c r="R10" s="92"/>
      <c r="S10" s="92"/>
      <c r="T10" s="2660"/>
      <c r="U10" s="2661"/>
      <c r="AA10" s="22"/>
      <c r="AB10" s="22"/>
      <c r="AC10" s="22"/>
      <c r="AD10" s="22"/>
      <c r="AE10" s="22"/>
      <c r="AF10" s="22"/>
      <c r="AG10" s="22"/>
      <c r="AH10" s="22"/>
      <c r="AI10" s="22"/>
      <c r="AJ10" s="22"/>
    </row>
    <row r="11" spans="1:36" s="29" customFormat="1" ht="21" customHeight="1">
      <c r="A11" s="23"/>
      <c r="B11" s="143" t="str">
        <f>LEFT(A52,1)</f>
        <v>7</v>
      </c>
      <c r="C11" s="2692" t="e">
        <f>VLOOKUP(B11,#REF!,3,FALSE)</f>
        <v>#REF!</v>
      </c>
      <c r="D11" s="2693"/>
      <c r="E11" s="2693"/>
      <c r="F11" s="2693"/>
      <c r="G11" s="2693"/>
      <c r="H11" s="2693"/>
      <c r="I11" s="2693"/>
      <c r="J11" s="2693"/>
      <c r="K11" s="2693"/>
      <c r="L11" s="2693"/>
      <c r="M11" s="242"/>
      <c r="N11" s="242"/>
      <c r="O11" s="242"/>
      <c r="P11" s="242"/>
      <c r="Q11" s="242"/>
      <c r="R11" s="242"/>
      <c r="S11" s="242"/>
      <c r="T11" s="242"/>
      <c r="U11" s="243"/>
      <c r="V11" s="26"/>
      <c r="W11" s="26"/>
      <c r="X11" s="26"/>
      <c r="Y11" s="26"/>
      <c r="Z11" s="27"/>
      <c r="AA11" s="28"/>
      <c r="AB11" s="28"/>
      <c r="AC11" s="28"/>
      <c r="AD11" s="28"/>
      <c r="AE11" s="28"/>
      <c r="AF11" s="28"/>
      <c r="AG11" s="28"/>
      <c r="AH11" s="28"/>
      <c r="AI11" s="28"/>
      <c r="AJ11" s="28"/>
    </row>
    <row r="12" spans="1:36" s="29" customFormat="1" ht="24.95" customHeight="1">
      <c r="A12" s="23"/>
      <c r="B12" s="2664" t="e">
        <f>VLOOKUP(A52,#REF!,2,FALSE)</f>
        <v>#REF!</v>
      </c>
      <c r="C12" s="2665" t="e">
        <f>VLOOKUP(A52,#REF!,3,FALSE)</f>
        <v>#REF!</v>
      </c>
      <c r="D12" s="2666" t="s">
        <v>97</v>
      </c>
      <c r="E12" s="2666"/>
      <c r="F12" s="2666"/>
      <c r="G12" s="2666"/>
      <c r="H12" s="2666"/>
      <c r="I12" s="2666"/>
      <c r="J12" s="2668" t="s">
        <v>98</v>
      </c>
      <c r="K12" s="2668" t="s">
        <v>102</v>
      </c>
      <c r="L12" s="2668" t="s">
        <v>220</v>
      </c>
      <c r="M12" s="2668" t="s">
        <v>113</v>
      </c>
      <c r="N12" s="2668" t="s">
        <v>112</v>
      </c>
      <c r="O12" s="2668" t="s">
        <v>221</v>
      </c>
      <c r="P12" s="2668" t="s">
        <v>219</v>
      </c>
      <c r="Q12" s="2668" t="s">
        <v>16</v>
      </c>
      <c r="R12" s="2668" t="s">
        <v>2</v>
      </c>
      <c r="S12" s="2668" t="s">
        <v>99</v>
      </c>
      <c r="T12" s="2668" t="s">
        <v>17</v>
      </c>
      <c r="U12" s="2667" t="s">
        <v>110</v>
      </c>
      <c r="V12" s="26"/>
      <c r="W12" s="26"/>
      <c r="X12" s="26"/>
      <c r="Y12" s="26"/>
      <c r="Z12" s="27"/>
      <c r="AA12" s="28"/>
      <c r="AB12" s="28"/>
      <c r="AC12" s="28"/>
      <c r="AD12" s="28"/>
      <c r="AE12" s="28"/>
      <c r="AF12" s="28"/>
      <c r="AG12" s="28"/>
      <c r="AH12" s="28"/>
      <c r="AI12" s="28"/>
      <c r="AJ12" s="28"/>
    </row>
    <row r="13" spans="1:36" s="29" customFormat="1" ht="24.95" customHeight="1">
      <c r="A13" s="23"/>
      <c r="B13" s="2664"/>
      <c r="C13" s="2665"/>
      <c r="D13" s="2669" t="s">
        <v>14</v>
      </c>
      <c r="E13" s="2669"/>
      <c r="F13" s="2669"/>
      <c r="G13" s="2667" t="s">
        <v>15</v>
      </c>
      <c r="H13" s="2667"/>
      <c r="I13" s="2667"/>
      <c r="J13" s="2417"/>
      <c r="K13" s="2417"/>
      <c r="L13" s="2417"/>
      <c r="M13" s="2417"/>
      <c r="N13" s="2417"/>
      <c r="O13" s="2417"/>
      <c r="P13" s="2417"/>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39"/>
      <c r="C14" s="58" t="s">
        <v>211</v>
      </c>
      <c r="D14" s="43">
        <v>307</v>
      </c>
      <c r="E14" s="44" t="s">
        <v>68</v>
      </c>
      <c r="F14" s="45">
        <v>7</v>
      </c>
      <c r="G14" s="43">
        <v>308</v>
      </c>
      <c r="H14" s="44" t="s">
        <v>68</v>
      </c>
      <c r="I14" s="45">
        <v>0</v>
      </c>
      <c r="J14" s="46"/>
      <c r="K14" s="35"/>
      <c r="L14" s="48"/>
      <c r="M14" s="49">
        <v>0.3</v>
      </c>
      <c r="N14" s="50">
        <v>85.15</v>
      </c>
      <c r="O14" s="50">
        <f>M14*N14</f>
        <v>25.545000000000002</v>
      </c>
      <c r="P14" s="48"/>
      <c r="Q14" s="53"/>
      <c r="R14" s="53">
        <f>O14</f>
        <v>25.545000000000002</v>
      </c>
      <c r="S14" s="54" t="s">
        <v>5</v>
      </c>
      <c r="T14" s="141" t="s">
        <v>93</v>
      </c>
      <c r="U14" s="167" t="s">
        <v>226</v>
      </c>
      <c r="V14" s="26"/>
      <c r="W14" s="26"/>
      <c r="X14" s="26"/>
      <c r="Y14" s="26"/>
      <c r="Z14" s="27"/>
    </row>
    <row r="15" spans="1:36" s="28" customFormat="1" ht="20.100000000000001" customHeight="1">
      <c r="A15" s="129"/>
      <c r="B15" s="139"/>
      <c r="C15" s="79"/>
      <c r="D15" s="85"/>
      <c r="E15" s="86"/>
      <c r="F15" s="87"/>
      <c r="G15" s="85"/>
      <c r="H15" s="86"/>
      <c r="I15" s="87"/>
      <c r="J15" s="138"/>
      <c r="K15" s="215"/>
      <c r="L15" s="134"/>
      <c r="M15" s="136"/>
      <c r="N15" s="135"/>
      <c r="O15" s="135"/>
      <c r="P15" s="134"/>
      <c r="Q15" s="133"/>
      <c r="R15" s="133"/>
      <c r="S15" s="132"/>
      <c r="T15" s="140"/>
      <c r="U15" s="212"/>
      <c r="V15" s="26"/>
      <c r="W15" s="26"/>
      <c r="X15" s="26"/>
      <c r="Y15" s="26"/>
      <c r="Z15" s="27"/>
      <c r="AA15" s="41"/>
      <c r="AB15" s="114"/>
    </row>
    <row r="16" spans="1:36" s="28" customFormat="1" ht="20.100000000000001" customHeight="1">
      <c r="A16" s="129"/>
      <c r="B16" s="139"/>
      <c r="C16" s="79"/>
      <c r="D16" s="85"/>
      <c r="E16" s="86"/>
      <c r="F16" s="87"/>
      <c r="G16" s="85"/>
      <c r="H16" s="86"/>
      <c r="I16" s="87"/>
      <c r="J16" s="138"/>
      <c r="K16" s="193"/>
      <c r="L16" s="134"/>
      <c r="M16" s="136"/>
      <c r="N16" s="135"/>
      <c r="O16" s="135"/>
      <c r="P16" s="134"/>
      <c r="Q16" s="133"/>
      <c r="R16" s="133"/>
      <c r="S16" s="132"/>
      <c r="T16" s="131"/>
      <c r="U16" s="130"/>
      <c r="V16" s="26"/>
      <c r="W16" s="26"/>
      <c r="X16" s="26"/>
      <c r="Y16" s="26"/>
      <c r="Z16" s="27"/>
      <c r="AA16" s="41"/>
      <c r="AB16" s="114"/>
    </row>
    <row r="17" spans="1:28" s="28" customFormat="1" ht="20.100000000000001" customHeight="1">
      <c r="A17" s="129"/>
      <c r="B17" s="139"/>
      <c r="C17" s="79"/>
      <c r="D17" s="85"/>
      <c r="E17" s="86"/>
      <c r="F17" s="87"/>
      <c r="G17" s="85"/>
      <c r="H17" s="86"/>
      <c r="I17" s="87"/>
      <c r="J17" s="138"/>
      <c r="K17" s="193"/>
      <c r="L17" s="134"/>
      <c r="M17" s="136"/>
      <c r="N17" s="135"/>
      <c r="O17" s="135"/>
      <c r="P17" s="134"/>
      <c r="Q17" s="133"/>
      <c r="R17" s="133"/>
      <c r="S17" s="132"/>
      <c r="T17" s="131"/>
      <c r="U17" s="130"/>
      <c r="V17" s="26"/>
      <c r="W17" s="26"/>
      <c r="X17" s="26"/>
      <c r="Y17" s="26"/>
      <c r="Z17" s="27"/>
      <c r="AA17" s="41"/>
      <c r="AB17" s="114"/>
    </row>
    <row r="18" spans="1:28" s="28" customFormat="1" ht="20.100000000000001" customHeight="1">
      <c r="A18" s="129"/>
      <c r="B18" s="139"/>
      <c r="C18" s="79"/>
      <c r="D18" s="85"/>
      <c r="E18" s="86"/>
      <c r="F18" s="87"/>
      <c r="G18" s="85"/>
      <c r="H18" s="86"/>
      <c r="I18" s="87"/>
      <c r="J18" s="138"/>
      <c r="K18" s="137"/>
      <c r="L18" s="134"/>
      <c r="M18" s="136"/>
      <c r="N18" s="135"/>
      <c r="O18" s="135"/>
      <c r="P18" s="134"/>
      <c r="Q18" s="133"/>
      <c r="R18" s="133"/>
      <c r="S18" s="132"/>
      <c r="T18" s="131"/>
      <c r="U18" s="130"/>
      <c r="V18" s="26"/>
      <c r="W18" s="26"/>
      <c r="X18" s="26"/>
      <c r="Y18" s="26"/>
      <c r="Z18" s="27"/>
      <c r="AA18" s="41"/>
      <c r="AB18" s="114"/>
    </row>
    <row r="19" spans="1:28" s="28" customFormat="1" ht="20.100000000000001" customHeight="1">
      <c r="A19" s="129"/>
      <c r="B19" s="139"/>
      <c r="C19" s="79"/>
      <c r="D19" s="85"/>
      <c r="E19" s="86"/>
      <c r="F19" s="87"/>
      <c r="G19" s="85"/>
      <c r="H19" s="86"/>
      <c r="I19" s="87"/>
      <c r="J19" s="138"/>
      <c r="K19" s="137"/>
      <c r="L19" s="134"/>
      <c r="M19" s="136"/>
      <c r="N19" s="135"/>
      <c r="O19" s="135"/>
      <c r="P19" s="134"/>
      <c r="Q19" s="133"/>
      <c r="R19" s="133"/>
      <c r="S19" s="132"/>
      <c r="T19" s="131"/>
      <c r="U19" s="130"/>
      <c r="V19" s="26"/>
      <c r="W19" s="26"/>
      <c r="X19" s="26"/>
      <c r="Y19" s="26"/>
      <c r="Z19" s="27"/>
      <c r="AA19" s="41"/>
      <c r="AB19" s="114"/>
    </row>
    <row r="20" spans="1:28" s="28" customFormat="1" ht="20.100000000000001" customHeight="1">
      <c r="A20" s="129"/>
      <c r="B20" s="139"/>
      <c r="C20" s="79"/>
      <c r="D20" s="85"/>
      <c r="E20" s="86"/>
      <c r="F20" s="87"/>
      <c r="G20" s="85"/>
      <c r="H20" s="86"/>
      <c r="I20" s="87"/>
      <c r="J20" s="138"/>
      <c r="K20" s="137"/>
      <c r="L20" s="134"/>
      <c r="M20" s="136"/>
      <c r="N20" s="135"/>
      <c r="O20" s="135"/>
      <c r="P20" s="134"/>
      <c r="Q20" s="133"/>
      <c r="R20" s="133"/>
      <c r="S20" s="132"/>
      <c r="T20" s="131"/>
      <c r="U20" s="130"/>
      <c r="V20" s="26"/>
      <c r="W20" s="26"/>
      <c r="X20" s="26"/>
      <c r="Y20" s="26"/>
      <c r="Z20" s="27"/>
      <c r="AA20" s="41"/>
      <c r="AB20" s="114"/>
    </row>
    <row r="21" spans="1:28" s="28" customFormat="1" ht="20.100000000000001" customHeight="1">
      <c r="A21" s="129"/>
      <c r="B21" s="139"/>
      <c r="C21" s="79"/>
      <c r="D21" s="85"/>
      <c r="E21" s="86"/>
      <c r="F21" s="87"/>
      <c r="G21" s="85"/>
      <c r="H21" s="86"/>
      <c r="I21" s="87"/>
      <c r="J21" s="138"/>
      <c r="K21" s="137"/>
      <c r="L21" s="134"/>
      <c r="M21" s="136"/>
      <c r="N21" s="135"/>
      <c r="O21" s="135"/>
      <c r="P21" s="134"/>
      <c r="Q21" s="133"/>
      <c r="R21" s="133"/>
      <c r="S21" s="132"/>
      <c r="T21" s="131"/>
      <c r="U21" s="130"/>
      <c r="V21" s="26"/>
      <c r="W21" s="26"/>
      <c r="X21" s="26"/>
      <c r="Y21" s="26"/>
      <c r="Z21" s="27"/>
      <c r="AA21" s="41"/>
      <c r="AB21" s="114"/>
    </row>
    <row r="22" spans="1:28" s="28" customFormat="1" ht="20.100000000000001" customHeight="1">
      <c r="A22" s="129"/>
      <c r="B22" s="139"/>
      <c r="C22" s="79"/>
      <c r="D22" s="85"/>
      <c r="E22" s="86"/>
      <c r="F22" s="87"/>
      <c r="G22" s="85"/>
      <c r="H22" s="86"/>
      <c r="I22" s="87"/>
      <c r="J22" s="138"/>
      <c r="K22" s="137"/>
      <c r="L22" s="134"/>
      <c r="M22" s="136"/>
      <c r="N22" s="135"/>
      <c r="O22" s="135"/>
      <c r="P22" s="134"/>
      <c r="Q22" s="133"/>
      <c r="R22" s="133"/>
      <c r="S22" s="132"/>
      <c r="T22" s="131"/>
      <c r="U22" s="130"/>
      <c r="V22" s="26"/>
      <c r="W22" s="26"/>
      <c r="X22" s="26"/>
      <c r="Y22" s="26"/>
      <c r="Z22" s="27"/>
      <c r="AA22" s="41"/>
      <c r="AB22" s="114"/>
    </row>
    <row r="23" spans="1:28" s="28" customFormat="1" ht="20.100000000000001" customHeight="1">
      <c r="A23" s="129"/>
      <c r="B23" s="139"/>
      <c r="C23" s="79"/>
      <c r="D23" s="85"/>
      <c r="E23" s="86"/>
      <c r="F23" s="87"/>
      <c r="G23" s="85"/>
      <c r="H23" s="86"/>
      <c r="I23" s="87"/>
      <c r="J23" s="138"/>
      <c r="K23" s="137"/>
      <c r="L23" s="134"/>
      <c r="M23" s="136"/>
      <c r="N23" s="135"/>
      <c r="O23" s="135"/>
      <c r="P23" s="134"/>
      <c r="Q23" s="133"/>
      <c r="R23" s="133"/>
      <c r="S23" s="132"/>
      <c r="T23" s="131"/>
      <c r="U23" s="130"/>
      <c r="V23" s="26"/>
      <c r="W23" s="26"/>
      <c r="X23" s="26"/>
      <c r="Y23" s="26"/>
      <c r="Z23" s="27"/>
      <c r="AA23" s="41"/>
      <c r="AB23" s="114"/>
    </row>
    <row r="24" spans="1:28" s="28" customFormat="1" ht="20.100000000000001" customHeight="1">
      <c r="A24" s="129"/>
      <c r="B24" s="139"/>
      <c r="C24" s="79"/>
      <c r="D24" s="85"/>
      <c r="E24" s="86"/>
      <c r="F24" s="87"/>
      <c r="G24" s="85"/>
      <c r="H24" s="86"/>
      <c r="I24" s="87"/>
      <c r="J24" s="138"/>
      <c r="K24" s="137"/>
      <c r="L24" s="134"/>
      <c r="M24" s="136"/>
      <c r="N24" s="135"/>
      <c r="O24" s="135"/>
      <c r="P24" s="134"/>
      <c r="Q24" s="133"/>
      <c r="R24" s="133"/>
      <c r="S24" s="132"/>
      <c r="T24" s="131"/>
      <c r="U24" s="130"/>
      <c r="V24" s="26"/>
      <c r="W24" s="26"/>
      <c r="X24" s="26"/>
      <c r="Y24" s="26"/>
      <c r="Z24" s="27"/>
      <c r="AA24" s="41"/>
      <c r="AB24" s="114"/>
    </row>
    <row r="25" spans="1:28" s="28" customFormat="1" ht="20.100000000000001" customHeight="1">
      <c r="A25" s="129"/>
      <c r="B25" s="139"/>
      <c r="C25" s="79"/>
      <c r="D25" s="85"/>
      <c r="E25" s="86"/>
      <c r="F25" s="87"/>
      <c r="G25" s="85"/>
      <c r="H25" s="86"/>
      <c r="I25" s="87"/>
      <c r="J25" s="138"/>
      <c r="K25" s="137"/>
      <c r="L25" s="134"/>
      <c r="M25" s="136"/>
      <c r="N25" s="135"/>
      <c r="O25" s="135"/>
      <c r="P25" s="134"/>
      <c r="Q25" s="133"/>
      <c r="R25" s="133"/>
      <c r="S25" s="154"/>
      <c r="T25" s="153"/>
      <c r="U25" s="130"/>
      <c r="V25" s="26"/>
      <c r="W25" s="26"/>
      <c r="X25" s="26"/>
      <c r="Y25" s="26"/>
      <c r="Z25" s="27"/>
      <c r="AA25" s="41"/>
      <c r="AB25" s="114"/>
    </row>
    <row r="26" spans="1:28" s="28" customFormat="1" ht="20.100000000000001" customHeight="1">
      <c r="A26" s="129"/>
      <c r="B26" s="139"/>
      <c r="C26" s="79"/>
      <c r="D26" s="85"/>
      <c r="E26" s="86"/>
      <c r="F26" s="87"/>
      <c r="G26" s="85"/>
      <c r="H26" s="86"/>
      <c r="I26" s="87"/>
      <c r="J26" s="138"/>
      <c r="K26" s="137"/>
      <c r="L26" s="134"/>
      <c r="M26" s="136"/>
      <c r="N26" s="135"/>
      <c r="O26" s="135"/>
      <c r="P26" s="134"/>
      <c r="Q26" s="133"/>
      <c r="R26" s="133"/>
      <c r="S26" s="132"/>
      <c r="T26" s="131"/>
      <c r="U26" s="130"/>
      <c r="V26" s="26"/>
      <c r="W26" s="26"/>
      <c r="X26" s="26"/>
      <c r="Y26" s="26"/>
      <c r="Z26" s="27"/>
      <c r="AA26" s="41"/>
      <c r="AB26" s="114"/>
    </row>
    <row r="27" spans="1:28" s="28" customFormat="1" ht="20.100000000000001" customHeight="1">
      <c r="A27" s="129"/>
      <c r="B27" s="139"/>
      <c r="C27" s="79"/>
      <c r="D27" s="85"/>
      <c r="E27" s="86"/>
      <c r="F27" s="87"/>
      <c r="G27" s="85"/>
      <c r="H27" s="86"/>
      <c r="I27" s="87"/>
      <c r="J27" s="138"/>
      <c r="K27" s="137"/>
      <c r="L27" s="134"/>
      <c r="M27" s="136"/>
      <c r="N27" s="135"/>
      <c r="O27" s="135"/>
      <c r="P27" s="134"/>
      <c r="Q27" s="133"/>
      <c r="R27" s="133"/>
      <c r="S27" s="132"/>
      <c r="T27" s="131"/>
      <c r="U27" s="130"/>
      <c r="V27" s="26"/>
      <c r="W27" s="26"/>
      <c r="X27" s="26"/>
      <c r="Y27" s="26"/>
      <c r="Z27" s="27"/>
      <c r="AA27" s="41"/>
      <c r="AB27" s="114"/>
    </row>
    <row r="28" spans="1:28" s="28" customFormat="1" ht="20.100000000000001" customHeight="1">
      <c r="A28" s="129"/>
      <c r="B28" s="139"/>
      <c r="C28" s="79"/>
      <c r="D28" s="85"/>
      <c r="E28" s="86"/>
      <c r="F28" s="87"/>
      <c r="G28" s="85"/>
      <c r="H28" s="86"/>
      <c r="I28" s="87"/>
      <c r="J28" s="138"/>
      <c r="K28" s="137"/>
      <c r="L28" s="134"/>
      <c r="M28" s="136"/>
      <c r="N28" s="135"/>
      <c r="O28" s="135"/>
      <c r="P28" s="134"/>
      <c r="Q28" s="133"/>
      <c r="R28" s="133"/>
      <c r="S28" s="132"/>
      <c r="T28" s="131"/>
      <c r="U28" s="130"/>
      <c r="V28" s="26"/>
      <c r="W28" s="26"/>
      <c r="X28" s="26"/>
      <c r="Y28" s="26"/>
      <c r="Z28" s="27"/>
      <c r="AA28" s="41"/>
      <c r="AB28" s="114"/>
    </row>
    <row r="29" spans="1:28" s="28" customFormat="1" ht="20.100000000000001" customHeight="1">
      <c r="A29" s="129"/>
      <c r="B29" s="139"/>
      <c r="C29" s="79"/>
      <c r="D29" s="85"/>
      <c r="E29" s="86"/>
      <c r="F29" s="87"/>
      <c r="G29" s="85"/>
      <c r="H29" s="86"/>
      <c r="I29" s="87"/>
      <c r="J29" s="138"/>
      <c r="K29" s="137"/>
      <c r="L29" s="134"/>
      <c r="M29" s="136"/>
      <c r="N29" s="135"/>
      <c r="O29" s="135"/>
      <c r="P29" s="134"/>
      <c r="Q29" s="133"/>
      <c r="R29" s="133"/>
      <c r="S29" s="132"/>
      <c r="T29" s="131"/>
      <c r="U29" s="130"/>
      <c r="V29" s="26"/>
      <c r="W29" s="26"/>
      <c r="X29" s="26"/>
      <c r="Y29" s="26"/>
      <c r="Z29" s="27"/>
      <c r="AA29" s="41"/>
      <c r="AB29" s="114"/>
    </row>
    <row r="30" spans="1:28" s="28" customFormat="1" ht="20.100000000000001" customHeight="1">
      <c r="A30" s="129"/>
      <c r="B30" s="139"/>
      <c r="C30" s="79"/>
      <c r="D30" s="85"/>
      <c r="E30" s="86"/>
      <c r="F30" s="87"/>
      <c r="G30" s="85"/>
      <c r="H30" s="86"/>
      <c r="I30" s="87"/>
      <c r="J30" s="138"/>
      <c r="K30" s="137"/>
      <c r="L30" s="134"/>
      <c r="M30" s="136"/>
      <c r="N30" s="135"/>
      <c r="O30" s="135"/>
      <c r="P30" s="134"/>
      <c r="Q30" s="133"/>
      <c r="R30" s="133"/>
      <c r="S30" s="132"/>
      <c r="T30" s="131"/>
      <c r="U30" s="130"/>
      <c r="V30" s="26"/>
      <c r="W30" s="26"/>
      <c r="X30" s="26"/>
      <c r="Y30" s="26"/>
      <c r="Z30" s="27"/>
      <c r="AA30" s="41"/>
      <c r="AB30" s="114"/>
    </row>
    <row r="31" spans="1:28" s="28" customFormat="1" ht="20.100000000000001" customHeight="1">
      <c r="A31" s="129"/>
      <c r="B31" s="139"/>
      <c r="C31" s="79"/>
      <c r="D31" s="85"/>
      <c r="E31" s="86"/>
      <c r="F31" s="87"/>
      <c r="G31" s="85"/>
      <c r="H31" s="86"/>
      <c r="I31" s="87"/>
      <c r="J31" s="138"/>
      <c r="K31" s="137"/>
      <c r="L31" s="134"/>
      <c r="M31" s="136"/>
      <c r="N31" s="135"/>
      <c r="O31" s="135"/>
      <c r="P31" s="134"/>
      <c r="Q31" s="133"/>
      <c r="R31" s="133"/>
      <c r="S31" s="132"/>
      <c r="T31" s="131"/>
      <c r="U31" s="130"/>
      <c r="V31" s="26"/>
      <c r="W31" s="26"/>
      <c r="X31" s="26"/>
      <c r="Y31" s="26"/>
      <c r="Z31" s="27"/>
      <c r="AA31" s="41"/>
      <c r="AB31" s="114"/>
    </row>
    <row r="32" spans="1:28" s="28" customFormat="1" ht="20.100000000000001" customHeight="1">
      <c r="A32" s="129"/>
      <c r="B32" s="139"/>
      <c r="C32" s="79"/>
      <c r="D32" s="85"/>
      <c r="E32" s="86"/>
      <c r="F32" s="87"/>
      <c r="G32" s="85"/>
      <c r="H32" s="86"/>
      <c r="I32" s="87"/>
      <c r="J32" s="138"/>
      <c r="K32" s="137"/>
      <c r="L32" s="134"/>
      <c r="M32" s="136"/>
      <c r="N32" s="135"/>
      <c r="O32" s="135"/>
      <c r="P32" s="134"/>
      <c r="Q32" s="133"/>
      <c r="R32" s="133"/>
      <c r="S32" s="132"/>
      <c r="T32" s="131"/>
      <c r="U32" s="130"/>
      <c r="V32" s="26"/>
      <c r="W32" s="26"/>
      <c r="X32" s="26"/>
      <c r="Y32" s="26"/>
      <c r="Z32" s="27"/>
      <c r="AA32" s="41"/>
      <c r="AB32" s="114"/>
    </row>
    <row r="33" spans="1:28" s="28" customFormat="1" ht="20.100000000000001" customHeight="1">
      <c r="A33" s="129"/>
      <c r="B33" s="139"/>
      <c r="C33" s="79"/>
      <c r="D33" s="85"/>
      <c r="E33" s="86"/>
      <c r="F33" s="87"/>
      <c r="G33" s="85"/>
      <c r="H33" s="86"/>
      <c r="I33" s="87"/>
      <c r="J33" s="138"/>
      <c r="K33" s="137"/>
      <c r="L33" s="134"/>
      <c r="M33" s="136"/>
      <c r="N33" s="135"/>
      <c r="O33" s="135"/>
      <c r="P33" s="134"/>
      <c r="Q33" s="133"/>
      <c r="R33" s="133"/>
      <c r="S33" s="132"/>
      <c r="T33" s="131"/>
      <c r="U33" s="130"/>
      <c r="V33" s="26"/>
      <c r="W33" s="26"/>
      <c r="X33" s="26"/>
      <c r="Y33" s="26"/>
      <c r="Z33" s="27"/>
      <c r="AA33" s="41"/>
      <c r="AB33" s="114"/>
    </row>
    <row r="34" spans="1:28" s="28" customFormat="1" ht="20.100000000000001" customHeight="1">
      <c r="A34" s="129"/>
      <c r="B34" s="139"/>
      <c r="C34" s="79"/>
      <c r="D34" s="85"/>
      <c r="E34" s="86"/>
      <c r="F34" s="87"/>
      <c r="G34" s="85"/>
      <c r="H34" s="86"/>
      <c r="I34" s="87"/>
      <c r="J34" s="138"/>
      <c r="K34" s="137"/>
      <c r="L34" s="134"/>
      <c r="M34" s="136"/>
      <c r="N34" s="135"/>
      <c r="O34" s="135"/>
      <c r="P34" s="134"/>
      <c r="Q34" s="133"/>
      <c r="R34" s="133"/>
      <c r="S34" s="132"/>
      <c r="T34" s="131"/>
      <c r="U34" s="130"/>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133"/>
      <c r="R35" s="133"/>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133"/>
      <c r="R36" s="133"/>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133"/>
      <c r="R37" s="133"/>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28" customFormat="1" ht="20.100000000000001" customHeight="1">
      <c r="A48" s="129"/>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114"/>
    </row>
    <row r="49" spans="1:28" s="9" customFormat="1" ht="20.100000000000001" customHeight="1">
      <c r="A49" s="14"/>
      <c r="B49" s="128"/>
      <c r="C49" s="127"/>
      <c r="D49" s="126"/>
      <c r="E49" s="125"/>
      <c r="F49" s="124"/>
      <c r="G49" s="126"/>
      <c r="H49" s="125"/>
      <c r="I49" s="124"/>
      <c r="J49" s="123"/>
      <c r="K49" s="122"/>
      <c r="L49" s="119"/>
      <c r="M49" s="121"/>
      <c r="N49" s="120"/>
      <c r="O49" s="120"/>
      <c r="P49" s="119"/>
      <c r="Q49" s="118"/>
      <c r="R49" s="118"/>
      <c r="S49" s="117"/>
      <c r="T49" s="116"/>
      <c r="U49" s="115"/>
      <c r="V49" s="26"/>
      <c r="W49" s="26"/>
      <c r="X49" s="26"/>
      <c r="Y49" s="26"/>
      <c r="Z49" s="27"/>
      <c r="AA49" s="41"/>
      <c r="AB49" s="42"/>
    </row>
    <row r="50" spans="1:28" ht="20.100000000000001" customHeight="1">
      <c r="B50" s="109"/>
      <c r="C50" s="113"/>
      <c r="D50" s="2670" t="s">
        <v>18</v>
      </c>
      <c r="E50" s="2671"/>
      <c r="F50" s="2671"/>
      <c r="G50" s="2671"/>
      <c r="H50" s="2671"/>
      <c r="I50" s="2672"/>
      <c r="J50" s="2694">
        <v>190</v>
      </c>
      <c r="K50" s="2695"/>
      <c r="L50" s="112" t="s">
        <v>5</v>
      </c>
      <c r="M50" s="2696" t="s">
        <v>19</v>
      </c>
      <c r="N50" s="2697"/>
      <c r="O50" s="2697"/>
      <c r="P50" s="2697"/>
      <c r="Q50" s="2698"/>
      <c r="R50" s="111">
        <f>SUM(R14:R49)</f>
        <v>25.545000000000002</v>
      </c>
      <c r="S50" s="110" t="str">
        <f>L50</f>
        <v>m³</v>
      </c>
      <c r="T50" s="106"/>
      <c r="U50" s="105"/>
    </row>
    <row r="51" spans="1:28" ht="20.100000000000001" customHeight="1">
      <c r="B51" s="109"/>
      <c r="C51" s="72"/>
      <c r="D51" s="2678" t="s">
        <v>20</v>
      </c>
      <c r="E51" s="2728"/>
      <c r="F51" s="2728"/>
      <c r="G51" s="2728"/>
      <c r="H51" s="2728"/>
      <c r="I51" s="2729"/>
      <c r="J51" s="2699">
        <f>R50/J50</f>
        <v>0.13444736842105265</v>
      </c>
      <c r="K51" s="2730"/>
      <c r="L51" s="2703"/>
      <c r="M51" s="2705" t="s">
        <v>21</v>
      </c>
      <c r="N51" s="2706"/>
      <c r="O51" s="2706"/>
      <c r="P51" s="2706"/>
      <c r="Q51" s="2707"/>
      <c r="R51" s="108">
        <f>SUM(R14)</f>
        <v>25.545000000000002</v>
      </c>
      <c r="S51" s="107" t="str">
        <f>L50</f>
        <v>m³</v>
      </c>
      <c r="T51" s="106"/>
      <c r="U51" s="105"/>
    </row>
    <row r="52" spans="1:28" ht="20.100000000000001" customHeight="1">
      <c r="A52" s="12" t="s">
        <v>186</v>
      </c>
      <c r="B52" s="213"/>
      <c r="C52" s="73"/>
      <c r="D52" s="2670"/>
      <c r="E52" s="2671"/>
      <c r="F52" s="2671"/>
      <c r="G52" s="2671"/>
      <c r="H52" s="2671"/>
      <c r="I52" s="2672"/>
      <c r="J52" s="2701"/>
      <c r="K52" s="2702"/>
      <c r="L52" s="2704"/>
      <c r="M52" s="2705" t="s">
        <v>22</v>
      </c>
      <c r="N52" s="2706"/>
      <c r="O52" s="2706"/>
      <c r="P52" s="2706"/>
      <c r="Q52" s="2707"/>
      <c r="R52" s="103">
        <f>R50-R51</f>
        <v>0</v>
      </c>
      <c r="S52" s="102" t="str">
        <f>L50</f>
        <v>m³</v>
      </c>
      <c r="T52" s="101"/>
      <c r="U52" s="100"/>
    </row>
  </sheetData>
  <mergeCells count="33">
    <mergeCell ref="D50:I50"/>
    <mergeCell ref="J50:K50"/>
    <mergeCell ref="M50:Q50"/>
    <mergeCell ref="N12:N13"/>
    <mergeCell ref="O12:O13"/>
    <mergeCell ref="Q12:Q13"/>
    <mergeCell ref="L12:L13"/>
    <mergeCell ref="D51:I52"/>
    <mergeCell ref="J51:K52"/>
    <mergeCell ref="L51:L52"/>
    <mergeCell ref="M51:Q51"/>
    <mergeCell ref="M52:Q52"/>
    <mergeCell ref="V5:AA5"/>
    <mergeCell ref="B6:I6"/>
    <mergeCell ref="T8:U8"/>
    <mergeCell ref="B12:B13"/>
    <mergeCell ref="C12:C13"/>
    <mergeCell ref="D12:I12"/>
    <mergeCell ref="J12:J13"/>
    <mergeCell ref="K12:K13"/>
    <mergeCell ref="U12:U13"/>
    <mergeCell ref="R12:R13"/>
    <mergeCell ref="S12:S13"/>
    <mergeCell ref="D13:F13"/>
    <mergeCell ref="P12:P13"/>
    <mergeCell ref="C11:L11"/>
    <mergeCell ref="T12:T13"/>
    <mergeCell ref="K6:U6"/>
    <mergeCell ref="T9:U9"/>
    <mergeCell ref="M12:M13"/>
    <mergeCell ref="T10:U10"/>
    <mergeCell ref="G13:I13"/>
    <mergeCell ref="B1:U5"/>
  </mergeCells>
  <conditionalFormatting sqref="J51:K52">
    <cfRule type="cellIs" dxfId="21" priority="1" operator="greaterThanOrEqual">
      <formula>1</formula>
    </cfRule>
    <cfRule type="cellIs" dxfId="20" priority="2" operator="greaterThan">
      <formula>100%</formula>
    </cfRule>
  </conditionalFormatting>
  <printOptions horizontalCentered="1"/>
  <pageMargins left="0.39370078740157483" right="0.39370078740157483" top="0.78740157480314965" bottom="0.78740157480314965" header="0" footer="0.19685039370078741"/>
  <pageSetup paperSize="9" scale="44" fitToHeight="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446A2C"/>
    <pageSetUpPr fitToPage="1"/>
  </sheetPr>
  <dimension ref="A1:AJ52"/>
  <sheetViews>
    <sheetView view="pageBreakPreview" topLeftCell="A7" zoomScale="60" zoomScaleNormal="100" workbookViewId="0">
      <selection activeCell="R52" sqref="R52"/>
    </sheetView>
  </sheetViews>
  <sheetFormatPr defaultRowHeight="12.75"/>
  <cols>
    <col min="1" max="1" width="9.140625" style="12"/>
    <col min="2" max="2" width="14.2851562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1" width="16.42578125" style="8" customWidth="1"/>
    <col min="12" max="15" width="15.7109375" style="8" customWidth="1"/>
    <col min="16" max="16" width="17.85546875" style="8" customWidth="1"/>
    <col min="17" max="18" width="15.7109375" style="8" customWidth="1"/>
    <col min="19" max="19" width="9" style="8" customWidth="1"/>
    <col min="20" max="20" width="15.7109375" style="8" customWidth="1"/>
    <col min="21" max="21" width="38.140625" style="8" bestFit="1" customWidth="1"/>
    <col min="22" max="27" width="9.140625" style="8"/>
    <col min="28" max="28" width="12.7109375" style="15" customWidth="1"/>
    <col min="29" max="16384" width="9.140625" style="8"/>
  </cols>
  <sheetData>
    <row r="1" spans="1:36" ht="18.75" customHeight="1">
      <c r="B1" s="2652" t="s">
        <v>212</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690" t="s">
        <v>9</v>
      </c>
      <c r="C6" s="2657"/>
      <c r="D6" s="2657"/>
      <c r="E6" s="2657"/>
      <c r="F6" s="2657"/>
      <c r="G6" s="2657"/>
      <c r="H6" s="2657"/>
      <c r="I6" s="2657"/>
      <c r="J6" s="238"/>
      <c r="K6" s="2649" t="s">
        <v>10</v>
      </c>
      <c r="L6" s="2650"/>
      <c r="M6" s="2650"/>
      <c r="N6" s="2650"/>
      <c r="O6" s="2650"/>
      <c r="P6" s="2650"/>
      <c r="Q6" s="2650"/>
      <c r="R6" s="2650"/>
      <c r="S6" s="2650"/>
      <c r="T6" s="2650"/>
      <c r="U6" s="2651"/>
      <c r="V6" s="99"/>
      <c r="W6" s="99"/>
      <c r="X6" s="99"/>
      <c r="Y6" s="99"/>
      <c r="Z6" s="99"/>
      <c r="AA6" s="99"/>
      <c r="AB6" s="17"/>
    </row>
    <row r="7" spans="1:36" s="20" customFormat="1" ht="15.75">
      <c r="A7" s="19"/>
      <c r="B7" s="152" t="s">
        <v>96</v>
      </c>
      <c r="C7" s="149" t="e">
        <f>#REF!</f>
        <v>#REF!</v>
      </c>
      <c r="D7" s="145"/>
      <c r="E7" s="92"/>
      <c r="F7" s="92"/>
      <c r="G7" s="145"/>
      <c r="H7" s="92"/>
      <c r="I7" s="92"/>
      <c r="J7" s="200"/>
      <c r="K7" s="151" t="s">
        <v>190</v>
      </c>
      <c r="L7" s="239"/>
      <c r="M7" s="240"/>
      <c r="N7" s="240"/>
      <c r="O7" s="240"/>
      <c r="P7" s="240"/>
      <c r="Q7" s="240"/>
      <c r="R7" s="240"/>
      <c r="S7" s="239"/>
      <c r="T7" s="239"/>
      <c r="U7" s="241"/>
      <c r="AB7" s="21"/>
    </row>
    <row r="8" spans="1:36" s="20" customFormat="1" ht="15.75">
      <c r="A8" s="19"/>
      <c r="B8" s="148" t="s">
        <v>79</v>
      </c>
      <c r="C8" s="149" t="e">
        <f>#REF!</f>
        <v>#REF!</v>
      </c>
      <c r="D8" s="145"/>
      <c r="E8" s="92"/>
      <c r="F8" s="92"/>
      <c r="G8" s="145"/>
      <c r="H8" s="92"/>
      <c r="I8" s="92"/>
      <c r="J8" s="144"/>
      <c r="K8" s="146" t="s">
        <v>191</v>
      </c>
      <c r="L8" s="145"/>
      <c r="M8" s="145"/>
      <c r="N8" s="96"/>
      <c r="O8" s="96"/>
      <c r="P8" s="96"/>
      <c r="Q8" s="96"/>
      <c r="R8" s="96"/>
      <c r="S8" s="145"/>
      <c r="T8" s="2647"/>
      <c r="U8" s="2648"/>
      <c r="AB8" s="21"/>
    </row>
    <row r="9" spans="1:36" s="20" customFormat="1" ht="15.75">
      <c r="A9" s="19"/>
      <c r="B9" s="148" t="s">
        <v>11</v>
      </c>
      <c r="C9" s="147" t="e">
        <f>VLOOKUP(B9,[0]!_xlnm.Print_Area,2,FALSE)</f>
        <v>#REF!</v>
      </c>
      <c r="D9" s="145"/>
      <c r="E9" s="92"/>
      <c r="F9" s="92"/>
      <c r="G9" s="145"/>
      <c r="H9" s="92"/>
      <c r="I9" s="92"/>
      <c r="J9" s="144"/>
      <c r="K9" s="146" t="s">
        <v>192</v>
      </c>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147" t="e">
        <f>VLOOKUP(B10,[0]!_xlnm.Print_Area,2,FALSE)</f>
        <v>#REF!</v>
      </c>
      <c r="D10" s="145"/>
      <c r="E10" s="92"/>
      <c r="F10" s="92"/>
      <c r="G10" s="145"/>
      <c r="H10" s="92"/>
      <c r="I10" s="92"/>
      <c r="J10" s="201"/>
      <c r="K10" s="146" t="s">
        <v>193</v>
      </c>
      <c r="L10" s="92"/>
      <c r="M10" s="92"/>
      <c r="N10" s="92"/>
      <c r="O10" s="92"/>
      <c r="P10" s="202"/>
      <c r="Q10" s="92"/>
      <c r="R10" s="92"/>
      <c r="S10" s="92"/>
      <c r="T10" s="2660"/>
      <c r="U10" s="2661"/>
      <c r="AA10" s="22"/>
      <c r="AB10" s="22"/>
      <c r="AC10" s="22"/>
      <c r="AD10" s="22"/>
      <c r="AE10" s="22"/>
      <c r="AF10" s="22"/>
      <c r="AG10" s="22"/>
      <c r="AH10" s="22"/>
      <c r="AI10" s="22"/>
      <c r="AJ10" s="22"/>
    </row>
    <row r="11" spans="1:36" s="29" customFormat="1" ht="21" customHeight="1">
      <c r="A11" s="23"/>
      <c r="B11" s="143" t="str">
        <f>LEFT(A52,1)</f>
        <v>7</v>
      </c>
      <c r="C11" s="2692" t="e">
        <f>VLOOKUP(B11,#REF!,3,FALSE)</f>
        <v>#REF!</v>
      </c>
      <c r="D11" s="2693"/>
      <c r="E11" s="2693"/>
      <c r="F11" s="2693"/>
      <c r="G11" s="2693"/>
      <c r="H11" s="2693"/>
      <c r="I11" s="2693"/>
      <c r="J11" s="2693"/>
      <c r="K11" s="2693"/>
      <c r="L11" s="2693"/>
      <c r="M11" s="242"/>
      <c r="N11" s="242"/>
      <c r="O11" s="242"/>
      <c r="P11" s="242"/>
      <c r="Q11" s="242"/>
      <c r="R11" s="242"/>
      <c r="S11" s="242"/>
      <c r="T11" s="242"/>
      <c r="U11" s="243"/>
      <c r="V11" s="26"/>
      <c r="W11" s="26"/>
      <c r="X11" s="26"/>
      <c r="Y11" s="26"/>
      <c r="Z11" s="27"/>
      <c r="AA11" s="28"/>
      <c r="AB11" s="28"/>
      <c r="AC11" s="28"/>
      <c r="AD11" s="28"/>
      <c r="AE11" s="28"/>
      <c r="AF11" s="28"/>
      <c r="AG11" s="28"/>
      <c r="AH11" s="28"/>
      <c r="AI11" s="28"/>
      <c r="AJ11" s="28"/>
    </row>
    <row r="12" spans="1:36" s="29" customFormat="1" ht="24.95" customHeight="1">
      <c r="A12" s="23"/>
      <c r="B12" s="2664" t="e">
        <f>VLOOKUP(A52,#REF!,2,FALSE)</f>
        <v>#REF!</v>
      </c>
      <c r="C12" s="2665" t="e">
        <f>VLOOKUP(A52,#REF!,3,FALSE)</f>
        <v>#REF!</v>
      </c>
      <c r="D12" s="2666" t="s">
        <v>97</v>
      </c>
      <c r="E12" s="2666"/>
      <c r="F12" s="2666"/>
      <c r="G12" s="2666"/>
      <c r="H12" s="2666"/>
      <c r="I12" s="2666"/>
      <c r="J12" s="2668" t="s">
        <v>98</v>
      </c>
      <c r="K12" s="2668" t="s">
        <v>102</v>
      </c>
      <c r="L12" s="2668" t="s">
        <v>220</v>
      </c>
      <c r="M12" s="2668" t="s">
        <v>113</v>
      </c>
      <c r="N12" s="2668" t="s">
        <v>112</v>
      </c>
      <c r="O12" s="2668" t="s">
        <v>221</v>
      </c>
      <c r="P12" s="2668" t="s">
        <v>219</v>
      </c>
      <c r="Q12" s="2668" t="s">
        <v>16</v>
      </c>
      <c r="R12" s="2668" t="s">
        <v>2</v>
      </c>
      <c r="S12" s="2668" t="s">
        <v>99</v>
      </c>
      <c r="T12" s="2668" t="s">
        <v>17</v>
      </c>
      <c r="U12" s="2667" t="s">
        <v>110</v>
      </c>
      <c r="V12" s="26"/>
      <c r="W12" s="26"/>
      <c r="X12" s="26"/>
      <c r="Y12" s="26"/>
      <c r="Z12" s="27"/>
      <c r="AA12" s="28"/>
      <c r="AB12" s="28"/>
      <c r="AC12" s="28"/>
      <c r="AD12" s="28"/>
      <c r="AE12" s="28"/>
      <c r="AF12" s="28"/>
      <c r="AG12" s="28"/>
      <c r="AH12" s="28"/>
      <c r="AI12" s="28"/>
      <c r="AJ12" s="28"/>
    </row>
    <row r="13" spans="1:36" s="29" customFormat="1" ht="24.95" customHeight="1">
      <c r="A13" s="23"/>
      <c r="B13" s="2664"/>
      <c r="C13" s="2665"/>
      <c r="D13" s="2669" t="s">
        <v>14</v>
      </c>
      <c r="E13" s="2669"/>
      <c r="F13" s="2669"/>
      <c r="G13" s="2667" t="s">
        <v>15</v>
      </c>
      <c r="H13" s="2667"/>
      <c r="I13" s="2667"/>
      <c r="J13" s="2417"/>
      <c r="K13" s="2417"/>
      <c r="L13" s="2417"/>
      <c r="M13" s="2417"/>
      <c r="N13" s="2417"/>
      <c r="O13" s="2417"/>
      <c r="P13" s="2417"/>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39"/>
      <c r="C14" s="58" t="s">
        <v>208</v>
      </c>
      <c r="D14" s="43">
        <v>307</v>
      </c>
      <c r="E14" s="44" t="s">
        <v>68</v>
      </c>
      <c r="F14" s="45">
        <v>7</v>
      </c>
      <c r="G14" s="43">
        <v>308</v>
      </c>
      <c r="H14" s="44" t="s">
        <v>68</v>
      </c>
      <c r="I14" s="45">
        <v>0</v>
      </c>
      <c r="J14" s="46"/>
      <c r="K14" s="35"/>
      <c r="L14" s="48"/>
      <c r="M14" s="49"/>
      <c r="N14" s="50"/>
      <c r="O14" s="50">
        <v>0.45</v>
      </c>
      <c r="P14" s="48">
        <v>85.15</v>
      </c>
      <c r="Q14" s="53"/>
      <c r="R14" s="53">
        <f>P14*O14</f>
        <v>38.317500000000003</v>
      </c>
      <c r="S14" s="54" t="s">
        <v>5</v>
      </c>
      <c r="T14" s="141" t="s">
        <v>93</v>
      </c>
      <c r="U14" s="167" t="s">
        <v>226</v>
      </c>
      <c r="V14" s="26"/>
      <c r="W14" s="26"/>
      <c r="X14" s="26"/>
      <c r="Y14" s="26"/>
      <c r="Z14" s="27"/>
    </row>
    <row r="15" spans="1:36" s="28" customFormat="1" ht="20.100000000000001" customHeight="1">
      <c r="A15" s="129"/>
      <c r="B15" s="139"/>
      <c r="C15" s="79"/>
      <c r="D15" s="85"/>
      <c r="E15" s="86"/>
      <c r="F15" s="87"/>
      <c r="G15" s="85"/>
      <c r="H15" s="86"/>
      <c r="I15" s="87"/>
      <c r="J15" s="138"/>
      <c r="K15" s="215"/>
      <c r="L15" s="134"/>
      <c r="M15" s="136"/>
      <c r="N15" s="135"/>
      <c r="O15" s="135"/>
      <c r="P15" s="134"/>
      <c r="Q15" s="133"/>
      <c r="R15" s="133"/>
      <c r="S15" s="132"/>
      <c r="T15" s="140"/>
      <c r="U15" s="212"/>
      <c r="V15" s="26"/>
      <c r="W15" s="26"/>
      <c r="X15" s="26"/>
      <c r="Y15" s="26"/>
      <c r="Z15" s="27"/>
      <c r="AA15" s="41"/>
      <c r="AB15" s="114"/>
    </row>
    <row r="16" spans="1:36" s="28" customFormat="1" ht="20.100000000000001" customHeight="1">
      <c r="A16" s="129"/>
      <c r="B16" s="139"/>
      <c r="C16" s="79"/>
      <c r="D16" s="85"/>
      <c r="E16" s="86"/>
      <c r="F16" s="87"/>
      <c r="G16" s="85"/>
      <c r="H16" s="86"/>
      <c r="I16" s="87"/>
      <c r="J16" s="138"/>
      <c r="K16" s="193"/>
      <c r="L16" s="134"/>
      <c r="M16" s="136"/>
      <c r="N16" s="135"/>
      <c r="O16" s="135"/>
      <c r="P16" s="134"/>
      <c r="Q16" s="133"/>
      <c r="R16" s="133"/>
      <c r="S16" s="132"/>
      <c r="T16" s="131"/>
      <c r="U16" s="130"/>
      <c r="V16" s="26"/>
      <c r="W16" s="26"/>
      <c r="X16" s="26"/>
      <c r="Y16" s="26"/>
      <c r="Z16" s="27"/>
      <c r="AA16" s="41"/>
      <c r="AB16" s="114"/>
    </row>
    <row r="17" spans="1:28" s="28" customFormat="1" ht="20.100000000000001" customHeight="1">
      <c r="A17" s="129"/>
      <c r="B17" s="139"/>
      <c r="C17" s="79"/>
      <c r="D17" s="85"/>
      <c r="E17" s="86"/>
      <c r="F17" s="87"/>
      <c r="G17" s="85"/>
      <c r="H17" s="86"/>
      <c r="I17" s="87"/>
      <c r="J17" s="138"/>
      <c r="K17" s="193"/>
      <c r="L17" s="134"/>
      <c r="M17" s="136"/>
      <c r="N17" s="135"/>
      <c r="O17" s="135"/>
      <c r="P17" s="134"/>
      <c r="Q17" s="133"/>
      <c r="R17" s="133"/>
      <c r="S17" s="132"/>
      <c r="T17" s="131"/>
      <c r="U17" s="130"/>
      <c r="V17" s="26"/>
      <c r="W17" s="26"/>
      <c r="X17" s="26"/>
      <c r="Y17" s="26"/>
      <c r="Z17" s="27"/>
      <c r="AA17" s="41"/>
      <c r="AB17" s="114"/>
    </row>
    <row r="18" spans="1:28" s="28" customFormat="1" ht="20.100000000000001" customHeight="1">
      <c r="A18" s="129"/>
      <c r="B18" s="139"/>
      <c r="C18" s="79"/>
      <c r="D18" s="85"/>
      <c r="E18" s="86"/>
      <c r="F18" s="87"/>
      <c r="G18" s="85"/>
      <c r="H18" s="86"/>
      <c r="I18" s="87"/>
      <c r="J18" s="138"/>
      <c r="K18" s="137"/>
      <c r="L18" s="134"/>
      <c r="M18" s="136"/>
      <c r="N18" s="135"/>
      <c r="O18" s="135"/>
      <c r="P18" s="134"/>
      <c r="Q18" s="133"/>
      <c r="R18" s="133"/>
      <c r="S18" s="132"/>
      <c r="T18" s="131"/>
      <c r="U18" s="130"/>
      <c r="V18" s="26"/>
      <c r="W18" s="26"/>
      <c r="X18" s="26"/>
      <c r="Y18" s="26"/>
      <c r="Z18" s="27"/>
      <c r="AA18" s="41"/>
      <c r="AB18" s="114"/>
    </row>
    <row r="19" spans="1:28" s="28" customFormat="1" ht="20.100000000000001" customHeight="1">
      <c r="A19" s="129"/>
      <c r="B19" s="139"/>
      <c r="C19" s="79"/>
      <c r="D19" s="85"/>
      <c r="E19" s="86"/>
      <c r="F19" s="87"/>
      <c r="G19" s="85"/>
      <c r="H19" s="86"/>
      <c r="I19" s="87"/>
      <c r="J19" s="138"/>
      <c r="K19" s="137"/>
      <c r="L19" s="134"/>
      <c r="M19" s="136"/>
      <c r="N19" s="135"/>
      <c r="O19" s="135"/>
      <c r="P19" s="134"/>
      <c r="Q19" s="133"/>
      <c r="R19" s="133"/>
      <c r="S19" s="132"/>
      <c r="T19" s="131"/>
      <c r="U19" s="130"/>
      <c r="V19" s="26"/>
      <c r="W19" s="26"/>
      <c r="X19" s="26"/>
      <c r="Y19" s="26"/>
      <c r="Z19" s="27"/>
      <c r="AA19" s="41"/>
      <c r="AB19" s="114"/>
    </row>
    <row r="20" spans="1:28" s="28" customFormat="1" ht="20.100000000000001" customHeight="1">
      <c r="A20" s="129"/>
      <c r="B20" s="139"/>
      <c r="C20" s="79"/>
      <c r="D20" s="85"/>
      <c r="E20" s="86"/>
      <c r="F20" s="87"/>
      <c r="G20" s="85"/>
      <c r="H20" s="86"/>
      <c r="I20" s="87"/>
      <c r="J20" s="138"/>
      <c r="K20" s="137"/>
      <c r="L20" s="134"/>
      <c r="M20" s="136"/>
      <c r="N20" s="135"/>
      <c r="O20" s="135"/>
      <c r="P20" s="134"/>
      <c r="Q20" s="133"/>
      <c r="R20" s="133"/>
      <c r="S20" s="132"/>
      <c r="T20" s="131"/>
      <c r="U20" s="130"/>
      <c r="V20" s="26"/>
      <c r="W20" s="26"/>
      <c r="X20" s="26"/>
      <c r="Y20" s="26"/>
      <c r="Z20" s="27"/>
      <c r="AA20" s="41"/>
      <c r="AB20" s="114"/>
    </row>
    <row r="21" spans="1:28" s="28" customFormat="1" ht="20.100000000000001" customHeight="1">
      <c r="A21" s="129"/>
      <c r="B21" s="139"/>
      <c r="C21" s="79"/>
      <c r="D21" s="85"/>
      <c r="E21" s="86"/>
      <c r="F21" s="87"/>
      <c r="G21" s="85"/>
      <c r="H21" s="86"/>
      <c r="I21" s="87"/>
      <c r="J21" s="138"/>
      <c r="K21" s="137"/>
      <c r="L21" s="134"/>
      <c r="M21" s="136"/>
      <c r="N21" s="135"/>
      <c r="O21" s="135"/>
      <c r="P21" s="134"/>
      <c r="Q21" s="133"/>
      <c r="R21" s="133"/>
      <c r="S21" s="132"/>
      <c r="T21" s="131"/>
      <c r="U21" s="130"/>
      <c r="V21" s="26"/>
      <c r="W21" s="26"/>
      <c r="X21" s="26"/>
      <c r="Y21" s="26"/>
      <c r="Z21" s="27"/>
      <c r="AA21" s="41"/>
      <c r="AB21" s="114"/>
    </row>
    <row r="22" spans="1:28" s="28" customFormat="1" ht="20.100000000000001" customHeight="1">
      <c r="A22" s="129"/>
      <c r="B22" s="139"/>
      <c r="C22" s="79"/>
      <c r="D22" s="85"/>
      <c r="E22" s="86"/>
      <c r="F22" s="87"/>
      <c r="G22" s="85"/>
      <c r="H22" s="86"/>
      <c r="I22" s="87"/>
      <c r="J22" s="138"/>
      <c r="K22" s="137"/>
      <c r="L22" s="134"/>
      <c r="M22" s="136"/>
      <c r="N22" s="135"/>
      <c r="O22" s="135"/>
      <c r="P22" s="134"/>
      <c r="Q22" s="133"/>
      <c r="R22" s="133"/>
      <c r="S22" s="132"/>
      <c r="T22" s="131"/>
      <c r="U22" s="130"/>
      <c r="V22" s="26"/>
      <c r="W22" s="26"/>
      <c r="X22" s="26"/>
      <c r="Y22" s="26"/>
      <c r="Z22" s="27"/>
      <c r="AA22" s="41"/>
      <c r="AB22" s="114"/>
    </row>
    <row r="23" spans="1:28" s="28" customFormat="1" ht="20.100000000000001" customHeight="1">
      <c r="A23" s="129"/>
      <c r="B23" s="139"/>
      <c r="C23" s="79"/>
      <c r="D23" s="85"/>
      <c r="E23" s="86"/>
      <c r="F23" s="87"/>
      <c r="G23" s="85"/>
      <c r="H23" s="86"/>
      <c r="I23" s="87"/>
      <c r="J23" s="138"/>
      <c r="K23" s="137"/>
      <c r="L23" s="134"/>
      <c r="M23" s="136"/>
      <c r="N23" s="135"/>
      <c r="O23" s="135"/>
      <c r="P23" s="134"/>
      <c r="Q23" s="133"/>
      <c r="R23" s="133"/>
      <c r="S23" s="132"/>
      <c r="T23" s="131"/>
      <c r="U23" s="130"/>
      <c r="V23" s="26"/>
      <c r="W23" s="26"/>
      <c r="X23" s="26"/>
      <c r="Y23" s="26"/>
      <c r="Z23" s="27"/>
      <c r="AA23" s="41"/>
      <c r="AB23" s="114"/>
    </row>
    <row r="24" spans="1:28" s="28" customFormat="1" ht="20.100000000000001" customHeight="1">
      <c r="A24" s="129"/>
      <c r="B24" s="139"/>
      <c r="C24" s="79"/>
      <c r="D24" s="85"/>
      <c r="E24" s="86"/>
      <c r="F24" s="87"/>
      <c r="G24" s="85"/>
      <c r="H24" s="86"/>
      <c r="I24" s="87"/>
      <c r="J24" s="138"/>
      <c r="K24" s="137"/>
      <c r="L24" s="134"/>
      <c r="M24" s="136"/>
      <c r="N24" s="135"/>
      <c r="O24" s="135"/>
      <c r="P24" s="134"/>
      <c r="Q24" s="133"/>
      <c r="R24" s="133"/>
      <c r="S24" s="132"/>
      <c r="T24" s="131"/>
      <c r="U24" s="130"/>
      <c r="V24" s="26"/>
      <c r="W24" s="26"/>
      <c r="X24" s="26"/>
      <c r="Y24" s="26"/>
      <c r="Z24" s="27"/>
      <c r="AA24" s="41"/>
      <c r="AB24" s="114"/>
    </row>
    <row r="25" spans="1:28" s="28" customFormat="1" ht="20.100000000000001" customHeight="1">
      <c r="A25" s="129"/>
      <c r="B25" s="139"/>
      <c r="C25" s="79"/>
      <c r="D25" s="85"/>
      <c r="E25" s="86"/>
      <c r="F25" s="87"/>
      <c r="G25" s="85"/>
      <c r="H25" s="86"/>
      <c r="I25" s="87"/>
      <c r="J25" s="138"/>
      <c r="K25" s="137"/>
      <c r="L25" s="134"/>
      <c r="M25" s="136"/>
      <c r="N25" s="135"/>
      <c r="O25" s="135"/>
      <c r="P25" s="134"/>
      <c r="Q25" s="133"/>
      <c r="R25" s="133"/>
      <c r="S25" s="154"/>
      <c r="T25" s="153"/>
      <c r="U25" s="130"/>
      <c r="V25" s="26"/>
      <c r="W25" s="26"/>
      <c r="X25" s="26"/>
      <c r="Y25" s="26"/>
      <c r="Z25" s="27"/>
      <c r="AA25" s="41"/>
      <c r="AB25" s="114"/>
    </row>
    <row r="26" spans="1:28" s="28" customFormat="1" ht="20.100000000000001" customHeight="1">
      <c r="A26" s="129"/>
      <c r="B26" s="139"/>
      <c r="C26" s="79"/>
      <c r="D26" s="85"/>
      <c r="E26" s="86"/>
      <c r="F26" s="87"/>
      <c r="G26" s="85"/>
      <c r="H26" s="86"/>
      <c r="I26" s="87"/>
      <c r="J26" s="138"/>
      <c r="K26" s="137"/>
      <c r="L26" s="134"/>
      <c r="M26" s="136"/>
      <c r="N26" s="135"/>
      <c r="O26" s="135"/>
      <c r="P26" s="134"/>
      <c r="Q26" s="133"/>
      <c r="R26" s="133"/>
      <c r="S26" s="132"/>
      <c r="T26" s="131"/>
      <c r="U26" s="130"/>
      <c r="V26" s="26"/>
      <c r="W26" s="26"/>
      <c r="X26" s="26"/>
      <c r="Y26" s="26"/>
      <c r="Z26" s="27"/>
      <c r="AA26" s="41"/>
      <c r="AB26" s="114"/>
    </row>
    <row r="27" spans="1:28" s="28" customFormat="1" ht="20.100000000000001" customHeight="1">
      <c r="A27" s="129"/>
      <c r="B27" s="139"/>
      <c r="C27" s="79"/>
      <c r="D27" s="85"/>
      <c r="E27" s="86"/>
      <c r="F27" s="87"/>
      <c r="G27" s="85"/>
      <c r="H27" s="86"/>
      <c r="I27" s="87"/>
      <c r="J27" s="138"/>
      <c r="K27" s="137"/>
      <c r="L27" s="134"/>
      <c r="M27" s="136"/>
      <c r="N27" s="135"/>
      <c r="O27" s="135"/>
      <c r="P27" s="134"/>
      <c r="Q27" s="133"/>
      <c r="R27" s="133"/>
      <c r="S27" s="132"/>
      <c r="T27" s="131"/>
      <c r="U27" s="130"/>
      <c r="V27" s="26"/>
      <c r="W27" s="26"/>
      <c r="X27" s="26"/>
      <c r="Y27" s="26"/>
      <c r="Z27" s="27"/>
      <c r="AA27" s="41"/>
      <c r="AB27" s="114"/>
    </row>
    <row r="28" spans="1:28" s="28" customFormat="1" ht="20.100000000000001" customHeight="1">
      <c r="A28" s="129"/>
      <c r="B28" s="139"/>
      <c r="C28" s="79"/>
      <c r="D28" s="85"/>
      <c r="E28" s="86"/>
      <c r="F28" s="87"/>
      <c r="G28" s="85"/>
      <c r="H28" s="86"/>
      <c r="I28" s="87"/>
      <c r="J28" s="138"/>
      <c r="K28" s="137"/>
      <c r="L28" s="134"/>
      <c r="M28" s="136"/>
      <c r="N28" s="135"/>
      <c r="O28" s="135"/>
      <c r="P28" s="134"/>
      <c r="Q28" s="133"/>
      <c r="R28" s="133"/>
      <c r="S28" s="132"/>
      <c r="T28" s="131"/>
      <c r="U28" s="130"/>
      <c r="V28" s="26"/>
      <c r="W28" s="26"/>
      <c r="X28" s="26"/>
      <c r="Y28" s="26"/>
      <c r="Z28" s="27"/>
      <c r="AA28" s="41"/>
      <c r="AB28" s="114"/>
    </row>
    <row r="29" spans="1:28" s="28" customFormat="1" ht="20.100000000000001" customHeight="1">
      <c r="A29" s="129"/>
      <c r="B29" s="139"/>
      <c r="C29" s="79"/>
      <c r="D29" s="85"/>
      <c r="E29" s="86"/>
      <c r="F29" s="87"/>
      <c r="G29" s="85"/>
      <c r="H29" s="86"/>
      <c r="I29" s="87"/>
      <c r="J29" s="138"/>
      <c r="K29" s="137"/>
      <c r="L29" s="134"/>
      <c r="M29" s="136"/>
      <c r="N29" s="135"/>
      <c r="O29" s="135"/>
      <c r="P29" s="134"/>
      <c r="Q29" s="133"/>
      <c r="R29" s="133"/>
      <c r="S29" s="132"/>
      <c r="T29" s="131"/>
      <c r="U29" s="130"/>
      <c r="V29" s="26"/>
      <c r="W29" s="26"/>
      <c r="X29" s="26"/>
      <c r="Y29" s="26"/>
      <c r="Z29" s="27"/>
      <c r="AA29" s="41"/>
      <c r="AB29" s="114"/>
    </row>
    <row r="30" spans="1:28" s="28" customFormat="1" ht="20.100000000000001" customHeight="1">
      <c r="A30" s="129"/>
      <c r="B30" s="139"/>
      <c r="C30" s="79"/>
      <c r="D30" s="85"/>
      <c r="E30" s="86"/>
      <c r="F30" s="87"/>
      <c r="G30" s="85"/>
      <c r="H30" s="86"/>
      <c r="I30" s="87"/>
      <c r="J30" s="138"/>
      <c r="K30" s="137"/>
      <c r="L30" s="134"/>
      <c r="M30" s="136"/>
      <c r="N30" s="135"/>
      <c r="O30" s="135"/>
      <c r="P30" s="134"/>
      <c r="Q30" s="133"/>
      <c r="R30" s="133"/>
      <c r="S30" s="132"/>
      <c r="T30" s="131"/>
      <c r="U30" s="130"/>
      <c r="V30" s="26"/>
      <c r="W30" s="26"/>
      <c r="X30" s="26"/>
      <c r="Y30" s="26"/>
      <c r="Z30" s="27"/>
      <c r="AA30" s="41"/>
      <c r="AB30" s="114"/>
    </row>
    <row r="31" spans="1:28" s="28" customFormat="1" ht="20.100000000000001" customHeight="1">
      <c r="A31" s="129"/>
      <c r="B31" s="139"/>
      <c r="C31" s="79"/>
      <c r="D31" s="85"/>
      <c r="E31" s="86"/>
      <c r="F31" s="87"/>
      <c r="G31" s="85"/>
      <c r="H31" s="86"/>
      <c r="I31" s="87"/>
      <c r="J31" s="138"/>
      <c r="K31" s="137"/>
      <c r="L31" s="134"/>
      <c r="M31" s="136"/>
      <c r="N31" s="135"/>
      <c r="O31" s="135"/>
      <c r="P31" s="134"/>
      <c r="Q31" s="133"/>
      <c r="R31" s="133"/>
      <c r="S31" s="132"/>
      <c r="T31" s="131"/>
      <c r="U31" s="130"/>
      <c r="V31" s="26"/>
      <c r="W31" s="26"/>
      <c r="X31" s="26"/>
      <c r="Y31" s="26"/>
      <c r="Z31" s="27"/>
      <c r="AA31" s="41"/>
      <c r="AB31" s="114"/>
    </row>
    <row r="32" spans="1:28" s="28" customFormat="1" ht="20.100000000000001" customHeight="1">
      <c r="A32" s="129"/>
      <c r="B32" s="139"/>
      <c r="C32" s="79"/>
      <c r="D32" s="85"/>
      <c r="E32" s="86"/>
      <c r="F32" s="87"/>
      <c r="G32" s="85"/>
      <c r="H32" s="86"/>
      <c r="I32" s="87"/>
      <c r="J32" s="138"/>
      <c r="K32" s="137"/>
      <c r="L32" s="134"/>
      <c r="M32" s="136"/>
      <c r="N32" s="135"/>
      <c r="O32" s="135"/>
      <c r="P32" s="134"/>
      <c r="Q32" s="133"/>
      <c r="R32" s="133"/>
      <c r="S32" s="132"/>
      <c r="T32" s="131"/>
      <c r="U32" s="130"/>
      <c r="V32" s="26"/>
      <c r="W32" s="26"/>
      <c r="X32" s="26"/>
      <c r="Y32" s="26"/>
      <c r="Z32" s="27"/>
      <c r="AA32" s="41"/>
      <c r="AB32" s="114"/>
    </row>
    <row r="33" spans="1:28" s="28" customFormat="1" ht="20.100000000000001" customHeight="1">
      <c r="A33" s="129"/>
      <c r="B33" s="139"/>
      <c r="C33" s="79"/>
      <c r="D33" s="85"/>
      <c r="E33" s="86"/>
      <c r="F33" s="87"/>
      <c r="G33" s="85"/>
      <c r="H33" s="86"/>
      <c r="I33" s="87"/>
      <c r="J33" s="138"/>
      <c r="K33" s="137"/>
      <c r="L33" s="134"/>
      <c r="M33" s="136"/>
      <c r="N33" s="135"/>
      <c r="O33" s="135"/>
      <c r="P33" s="134"/>
      <c r="Q33" s="133"/>
      <c r="R33" s="133"/>
      <c r="S33" s="132"/>
      <c r="T33" s="131"/>
      <c r="U33" s="130"/>
      <c r="V33" s="26"/>
      <c r="W33" s="26"/>
      <c r="X33" s="26"/>
      <c r="Y33" s="26"/>
      <c r="Z33" s="27"/>
      <c r="AA33" s="41"/>
      <c r="AB33" s="114"/>
    </row>
    <row r="34" spans="1:28" s="28" customFormat="1" ht="20.100000000000001" customHeight="1">
      <c r="A34" s="129"/>
      <c r="B34" s="139"/>
      <c r="C34" s="79"/>
      <c r="D34" s="85"/>
      <c r="E34" s="86"/>
      <c r="F34" s="87"/>
      <c r="G34" s="85"/>
      <c r="H34" s="86"/>
      <c r="I34" s="87"/>
      <c r="J34" s="138"/>
      <c r="K34" s="137"/>
      <c r="L34" s="134"/>
      <c r="M34" s="136"/>
      <c r="N34" s="135"/>
      <c r="O34" s="135"/>
      <c r="P34" s="134"/>
      <c r="Q34" s="133"/>
      <c r="R34" s="133"/>
      <c r="S34" s="132"/>
      <c r="T34" s="131"/>
      <c r="U34" s="130"/>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133"/>
      <c r="R35" s="133"/>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133"/>
      <c r="R36" s="133"/>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133"/>
      <c r="R37" s="133"/>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28" customFormat="1" ht="20.100000000000001" customHeight="1">
      <c r="A48" s="129"/>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114"/>
    </row>
    <row r="49" spans="1:28" s="9" customFormat="1" ht="20.100000000000001" customHeight="1">
      <c r="A49" s="14"/>
      <c r="B49" s="128"/>
      <c r="C49" s="127"/>
      <c r="D49" s="126"/>
      <c r="E49" s="125"/>
      <c r="F49" s="124"/>
      <c r="G49" s="126"/>
      <c r="H49" s="125"/>
      <c r="I49" s="124"/>
      <c r="J49" s="123"/>
      <c r="K49" s="122"/>
      <c r="L49" s="119"/>
      <c r="M49" s="121"/>
      <c r="N49" s="120"/>
      <c r="O49" s="120"/>
      <c r="P49" s="119"/>
      <c r="Q49" s="118"/>
      <c r="R49" s="118"/>
      <c r="S49" s="117"/>
      <c r="T49" s="116"/>
      <c r="U49" s="115"/>
      <c r="V49" s="26"/>
      <c r="W49" s="26"/>
      <c r="X49" s="26"/>
      <c r="Y49" s="26"/>
      <c r="Z49" s="27"/>
      <c r="AA49" s="41"/>
      <c r="AB49" s="42"/>
    </row>
    <row r="50" spans="1:28" ht="20.100000000000001" customHeight="1">
      <c r="B50" s="109"/>
      <c r="C50" s="113"/>
      <c r="D50" s="2670" t="s">
        <v>18</v>
      </c>
      <c r="E50" s="2671"/>
      <c r="F50" s="2671"/>
      <c r="G50" s="2671"/>
      <c r="H50" s="2671"/>
      <c r="I50" s="2672"/>
      <c r="J50" s="2694">
        <v>45</v>
      </c>
      <c r="K50" s="2695"/>
      <c r="L50" s="112" t="s">
        <v>5</v>
      </c>
      <c r="M50" s="2696" t="s">
        <v>19</v>
      </c>
      <c r="N50" s="2697"/>
      <c r="O50" s="2697"/>
      <c r="P50" s="2697"/>
      <c r="Q50" s="2698"/>
      <c r="R50" s="111">
        <f>SUM(R14:R49)</f>
        <v>38.317500000000003</v>
      </c>
      <c r="S50" s="110" t="str">
        <f>L50</f>
        <v>m³</v>
      </c>
      <c r="T50" s="106"/>
      <c r="U50" s="105"/>
    </row>
    <row r="51" spans="1:28" ht="20.100000000000001" customHeight="1">
      <c r="B51" s="109"/>
      <c r="C51" s="72"/>
      <c r="D51" s="2678" t="s">
        <v>20</v>
      </c>
      <c r="E51" s="2728"/>
      <c r="F51" s="2728"/>
      <c r="G51" s="2728"/>
      <c r="H51" s="2728"/>
      <c r="I51" s="2729"/>
      <c r="J51" s="2699">
        <f>R50/J50</f>
        <v>0.85150000000000003</v>
      </c>
      <c r="K51" s="2730"/>
      <c r="L51" s="2703"/>
      <c r="M51" s="2705" t="s">
        <v>21</v>
      </c>
      <c r="N51" s="2706"/>
      <c r="O51" s="2706"/>
      <c r="P51" s="2706"/>
      <c r="Q51" s="2707"/>
      <c r="R51" s="108">
        <f>SUM(R14)</f>
        <v>38.317500000000003</v>
      </c>
      <c r="S51" s="107" t="str">
        <f>L50</f>
        <v>m³</v>
      </c>
      <c r="T51" s="106"/>
      <c r="U51" s="105"/>
    </row>
    <row r="52" spans="1:28" ht="20.100000000000001" customHeight="1">
      <c r="A52" s="12" t="s">
        <v>185</v>
      </c>
      <c r="B52" s="213"/>
      <c r="C52" s="73"/>
      <c r="D52" s="2670"/>
      <c r="E52" s="2671"/>
      <c r="F52" s="2671"/>
      <c r="G52" s="2671"/>
      <c r="H52" s="2671"/>
      <c r="I52" s="2672"/>
      <c r="J52" s="2701"/>
      <c r="K52" s="2702"/>
      <c r="L52" s="2704"/>
      <c r="M52" s="2705" t="s">
        <v>22</v>
      </c>
      <c r="N52" s="2706"/>
      <c r="O52" s="2706"/>
      <c r="P52" s="2706"/>
      <c r="Q52" s="2707"/>
      <c r="R52" s="103">
        <f>R50-R51</f>
        <v>0</v>
      </c>
      <c r="S52" s="102" t="str">
        <f>L50</f>
        <v>m³</v>
      </c>
      <c r="T52" s="101"/>
      <c r="U52" s="100"/>
    </row>
  </sheetData>
  <mergeCells count="33">
    <mergeCell ref="T12:T13"/>
    <mergeCell ref="D51:I52"/>
    <mergeCell ref="J51:K52"/>
    <mergeCell ref="L51:L52"/>
    <mergeCell ref="M51:Q51"/>
    <mergeCell ref="M52:Q52"/>
    <mergeCell ref="D50:I50"/>
    <mergeCell ref="J50:K50"/>
    <mergeCell ref="M50:Q50"/>
    <mergeCell ref="N12:N13"/>
    <mergeCell ref="O12:O13"/>
    <mergeCell ref="Q12:Q13"/>
    <mergeCell ref="T9:U9"/>
    <mergeCell ref="T10:U10"/>
    <mergeCell ref="C11:L11"/>
    <mergeCell ref="B12:B13"/>
    <mergeCell ref="C12:C13"/>
    <mergeCell ref="D12:I12"/>
    <mergeCell ref="J12:J13"/>
    <mergeCell ref="K12:K13"/>
    <mergeCell ref="L12:L13"/>
    <mergeCell ref="M12:M13"/>
    <mergeCell ref="P12:P13"/>
    <mergeCell ref="U12:U13"/>
    <mergeCell ref="D13:F13"/>
    <mergeCell ref="G13:I13"/>
    <mergeCell ref="R12:R13"/>
    <mergeCell ref="S12:S13"/>
    <mergeCell ref="B1:U5"/>
    <mergeCell ref="V5:AA5"/>
    <mergeCell ref="B6:I6"/>
    <mergeCell ref="T8:U8"/>
    <mergeCell ref="K6:U6"/>
  </mergeCells>
  <conditionalFormatting sqref="J51:K52">
    <cfRule type="cellIs" dxfId="19" priority="1" operator="greaterThanOrEqual">
      <formula>1</formula>
    </cfRule>
    <cfRule type="cellIs" dxfId="18" priority="2" operator="greaterThan">
      <formula>100%</formula>
    </cfRule>
  </conditionalFormatting>
  <printOptions horizontalCentered="1"/>
  <pageMargins left="0.39370078740157483" right="0.39370078740157483" top="0.78740157480314965" bottom="0.78740157480314965" header="0" footer="0.19685039370078741"/>
  <pageSetup paperSize="9" scale="44" fitToHeight="2"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446A2C"/>
    <pageSetUpPr fitToPage="1"/>
  </sheetPr>
  <dimension ref="A1:AJ52"/>
  <sheetViews>
    <sheetView view="pageBreakPreview" topLeftCell="A7" zoomScale="60" zoomScaleNormal="100" workbookViewId="0">
      <selection activeCell="R52" sqref="R52"/>
    </sheetView>
  </sheetViews>
  <sheetFormatPr defaultRowHeight="12.75"/>
  <cols>
    <col min="1" max="1" width="9.140625" style="12"/>
    <col min="2" max="2" width="14.2851562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1" width="16.140625" style="8" customWidth="1"/>
    <col min="12" max="15" width="15.7109375" style="8" customWidth="1"/>
    <col min="16" max="16" width="17" style="8" customWidth="1"/>
    <col min="17" max="18" width="15.7109375" style="8" customWidth="1"/>
    <col min="19" max="19" width="9" style="8" customWidth="1"/>
    <col min="20" max="20" width="15.7109375" style="8" customWidth="1"/>
    <col min="21" max="21" width="38.140625" style="8" bestFit="1" customWidth="1"/>
    <col min="22" max="27" width="9.140625" style="8"/>
    <col min="28" max="28" width="12.7109375" style="15" customWidth="1"/>
    <col min="29" max="16384" width="9.140625" style="8"/>
  </cols>
  <sheetData>
    <row r="1" spans="1:36" ht="18.75" customHeight="1">
      <c r="B1" s="2652"/>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690" t="s">
        <v>9</v>
      </c>
      <c r="C6" s="2657"/>
      <c r="D6" s="2657"/>
      <c r="E6" s="2657"/>
      <c r="F6" s="2657"/>
      <c r="G6" s="2657"/>
      <c r="H6" s="2657"/>
      <c r="I6" s="2657"/>
      <c r="J6" s="238"/>
      <c r="K6" s="2649" t="s">
        <v>10</v>
      </c>
      <c r="L6" s="2650"/>
      <c r="M6" s="2650"/>
      <c r="N6" s="2650"/>
      <c r="O6" s="2650"/>
      <c r="P6" s="2650"/>
      <c r="Q6" s="2650"/>
      <c r="R6" s="2650"/>
      <c r="S6" s="2650"/>
      <c r="T6" s="2650"/>
      <c r="U6" s="2651"/>
      <c r="V6" s="99"/>
      <c r="W6" s="99"/>
      <c r="X6" s="99"/>
      <c r="Y6" s="99"/>
      <c r="Z6" s="99"/>
      <c r="AA6" s="99"/>
      <c r="AB6" s="17"/>
    </row>
    <row r="7" spans="1:36" s="20" customFormat="1" ht="15.75">
      <c r="A7" s="19"/>
      <c r="B7" s="152" t="s">
        <v>96</v>
      </c>
      <c r="C7" s="149" t="e">
        <f>#REF!</f>
        <v>#REF!</v>
      </c>
      <c r="D7" s="145"/>
      <c r="E7" s="92"/>
      <c r="F7" s="92"/>
      <c r="G7" s="145"/>
      <c r="H7" s="92"/>
      <c r="I7" s="92"/>
      <c r="J7" s="200"/>
      <c r="K7" s="151" t="s">
        <v>190</v>
      </c>
      <c r="L7" s="239"/>
      <c r="M7" s="240"/>
      <c r="N7" s="240"/>
      <c r="O7" s="240"/>
      <c r="P7" s="240"/>
      <c r="Q7" s="240"/>
      <c r="R7" s="240"/>
      <c r="S7" s="239"/>
      <c r="T7" s="239"/>
      <c r="U7" s="241"/>
      <c r="AB7" s="21"/>
    </row>
    <row r="8" spans="1:36" s="20" customFormat="1" ht="15.75">
      <c r="A8" s="19"/>
      <c r="B8" s="148" t="s">
        <v>79</v>
      </c>
      <c r="C8" s="149" t="e">
        <f>#REF!</f>
        <v>#REF!</v>
      </c>
      <c r="D8" s="145"/>
      <c r="E8" s="92"/>
      <c r="F8" s="92"/>
      <c r="G8" s="145"/>
      <c r="H8" s="92"/>
      <c r="I8" s="92"/>
      <c r="J8" s="144"/>
      <c r="K8" s="146" t="s">
        <v>191</v>
      </c>
      <c r="L8" s="145"/>
      <c r="M8" s="145"/>
      <c r="N8" s="96"/>
      <c r="O8" s="96"/>
      <c r="P8" s="96"/>
      <c r="Q8" s="96"/>
      <c r="R8" s="96"/>
      <c r="S8" s="145"/>
      <c r="T8" s="2647"/>
      <c r="U8" s="2648"/>
      <c r="AB8" s="21"/>
    </row>
    <row r="9" spans="1:36" s="20" customFormat="1" ht="15.75">
      <c r="A9" s="19"/>
      <c r="B9" s="148" t="s">
        <v>11</v>
      </c>
      <c r="C9" s="147" t="e">
        <f>VLOOKUP(B9,[0]!_xlnm.Print_Area,2,FALSE)</f>
        <v>#REF!</v>
      </c>
      <c r="D9" s="145"/>
      <c r="E9" s="92"/>
      <c r="F9" s="92"/>
      <c r="G9" s="145"/>
      <c r="H9" s="92"/>
      <c r="I9" s="92"/>
      <c r="J9" s="144"/>
      <c r="K9" s="146" t="s">
        <v>192</v>
      </c>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147" t="e">
        <f>VLOOKUP(B10,[0]!_xlnm.Print_Area,2,FALSE)</f>
        <v>#REF!</v>
      </c>
      <c r="D10" s="145"/>
      <c r="E10" s="92"/>
      <c r="F10" s="92"/>
      <c r="G10" s="145"/>
      <c r="H10" s="92"/>
      <c r="I10" s="92"/>
      <c r="J10" s="201"/>
      <c r="K10" s="146" t="s">
        <v>193</v>
      </c>
      <c r="L10" s="92"/>
      <c r="M10" s="92"/>
      <c r="N10" s="92"/>
      <c r="O10" s="92"/>
      <c r="P10" s="202"/>
      <c r="Q10" s="92"/>
      <c r="R10" s="92"/>
      <c r="S10" s="92"/>
      <c r="T10" s="2660"/>
      <c r="U10" s="2661"/>
      <c r="AA10" s="22"/>
      <c r="AB10" s="22"/>
      <c r="AC10" s="22"/>
      <c r="AD10" s="22"/>
      <c r="AE10" s="22"/>
      <c r="AF10" s="22"/>
      <c r="AG10" s="22"/>
      <c r="AH10" s="22"/>
      <c r="AI10" s="22"/>
      <c r="AJ10" s="22"/>
    </row>
    <row r="11" spans="1:36" s="29" customFormat="1" ht="21" customHeight="1">
      <c r="A11" s="23"/>
      <c r="B11" s="143" t="str">
        <f>LEFT(A52,1)</f>
        <v>7</v>
      </c>
      <c r="C11" s="2692" t="s">
        <v>78</v>
      </c>
      <c r="D11" s="2693"/>
      <c r="E11" s="2693"/>
      <c r="F11" s="2693"/>
      <c r="G11" s="2693"/>
      <c r="H11" s="2693"/>
      <c r="I11" s="2693"/>
      <c r="J11" s="2693"/>
      <c r="K11" s="2693"/>
      <c r="L11" s="2693"/>
      <c r="M11" s="242"/>
      <c r="N11" s="242"/>
      <c r="O11" s="242"/>
      <c r="P11" s="242"/>
      <c r="Q11" s="242"/>
      <c r="R11" s="242"/>
      <c r="S11" s="242"/>
      <c r="T11" s="242"/>
      <c r="U11" s="243"/>
      <c r="V11" s="26"/>
      <c r="W11" s="26"/>
      <c r="X11" s="26"/>
      <c r="Y11" s="26"/>
      <c r="Z11" s="27"/>
      <c r="AA11" s="28"/>
      <c r="AB11" s="28"/>
      <c r="AC11" s="28"/>
      <c r="AD11" s="28"/>
      <c r="AE11" s="28"/>
      <c r="AF11" s="28"/>
      <c r="AG11" s="28"/>
      <c r="AH11" s="28"/>
      <c r="AI11" s="28"/>
      <c r="AJ11" s="28"/>
    </row>
    <row r="12" spans="1:36" s="29" customFormat="1" ht="24.95" customHeight="1">
      <c r="A12" s="23"/>
      <c r="B12" s="2664" t="e">
        <f>VLOOKUP(A52,#REF!,2,FALSE)</f>
        <v>#REF!</v>
      </c>
      <c r="C12" s="2665" t="e">
        <f>VLOOKUP(A52,#REF!,3,FALSE)</f>
        <v>#REF!</v>
      </c>
      <c r="D12" s="2666" t="s">
        <v>97</v>
      </c>
      <c r="E12" s="2666"/>
      <c r="F12" s="2666"/>
      <c r="G12" s="2666"/>
      <c r="H12" s="2666"/>
      <c r="I12" s="2666"/>
      <c r="J12" s="2668" t="s">
        <v>98</v>
      </c>
      <c r="K12" s="2668" t="s">
        <v>102</v>
      </c>
      <c r="L12" s="2668" t="s">
        <v>220</v>
      </c>
      <c r="M12" s="2668" t="s">
        <v>113</v>
      </c>
      <c r="N12" s="2668" t="s">
        <v>112</v>
      </c>
      <c r="O12" s="2668" t="s">
        <v>221</v>
      </c>
      <c r="P12" s="2668" t="s">
        <v>219</v>
      </c>
      <c r="Q12" s="2668" t="s">
        <v>16</v>
      </c>
      <c r="R12" s="2668" t="s">
        <v>2</v>
      </c>
      <c r="S12" s="2668" t="s">
        <v>99</v>
      </c>
      <c r="T12" s="2668" t="s">
        <v>17</v>
      </c>
      <c r="U12" s="2667" t="s">
        <v>110</v>
      </c>
      <c r="V12" s="26"/>
      <c r="W12" s="26"/>
      <c r="X12" s="26"/>
      <c r="Y12" s="26"/>
      <c r="Z12" s="27"/>
      <c r="AA12" s="28"/>
      <c r="AB12" s="28"/>
      <c r="AC12" s="28"/>
      <c r="AD12" s="28"/>
      <c r="AE12" s="28"/>
      <c r="AF12" s="28"/>
      <c r="AG12" s="28"/>
      <c r="AH12" s="28"/>
      <c r="AI12" s="28"/>
      <c r="AJ12" s="28"/>
    </row>
    <row r="13" spans="1:36" s="29" customFormat="1" ht="24.95" customHeight="1">
      <c r="A13" s="23"/>
      <c r="B13" s="2664"/>
      <c r="C13" s="2665"/>
      <c r="D13" s="2669" t="s">
        <v>14</v>
      </c>
      <c r="E13" s="2669"/>
      <c r="F13" s="2669"/>
      <c r="G13" s="2667" t="s">
        <v>15</v>
      </c>
      <c r="H13" s="2667"/>
      <c r="I13" s="2667"/>
      <c r="J13" s="2417"/>
      <c r="K13" s="2417"/>
      <c r="L13" s="2417"/>
      <c r="M13" s="2417"/>
      <c r="N13" s="2417"/>
      <c r="O13" s="2417"/>
      <c r="P13" s="2417"/>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39"/>
      <c r="C14" s="58" t="s">
        <v>211</v>
      </c>
      <c r="D14" s="43">
        <v>307</v>
      </c>
      <c r="E14" s="44" t="s">
        <v>68</v>
      </c>
      <c r="F14" s="45">
        <v>7</v>
      </c>
      <c r="G14" s="43">
        <v>308</v>
      </c>
      <c r="H14" s="44" t="s">
        <v>68</v>
      </c>
      <c r="I14" s="45">
        <v>0</v>
      </c>
      <c r="J14" s="46"/>
      <c r="K14" s="35"/>
      <c r="L14" s="48"/>
      <c r="M14" s="49">
        <v>0.3</v>
      </c>
      <c r="N14" s="50">
        <v>85.15</v>
      </c>
      <c r="O14" s="50">
        <f>M14*N14</f>
        <v>25.545000000000002</v>
      </c>
      <c r="P14" s="48">
        <v>2.1</v>
      </c>
      <c r="Q14" s="53"/>
      <c r="R14" s="53">
        <f>O14*P14</f>
        <v>53.644500000000008</v>
      </c>
      <c r="S14" s="54" t="s">
        <v>6</v>
      </c>
      <c r="T14" s="141" t="s">
        <v>93</v>
      </c>
      <c r="U14" s="212"/>
      <c r="V14" s="26"/>
      <c r="W14" s="26"/>
      <c r="X14" s="26"/>
      <c r="Y14" s="26"/>
      <c r="Z14" s="27"/>
    </row>
    <row r="15" spans="1:36" s="28" customFormat="1" ht="20.100000000000001" customHeight="1">
      <c r="A15" s="129"/>
      <c r="B15" s="139"/>
      <c r="C15" s="79"/>
      <c r="D15" s="85"/>
      <c r="E15" s="86"/>
      <c r="F15" s="87"/>
      <c r="G15" s="85"/>
      <c r="H15" s="86"/>
      <c r="I15" s="87"/>
      <c r="J15" s="138"/>
      <c r="K15" s="215"/>
      <c r="L15" s="134"/>
      <c r="M15" s="136"/>
      <c r="N15" s="135"/>
      <c r="O15" s="135"/>
      <c r="P15" s="134"/>
      <c r="Q15" s="133"/>
      <c r="R15" s="133"/>
      <c r="S15" s="132"/>
      <c r="T15" s="140"/>
      <c r="U15" s="212"/>
      <c r="V15" s="26"/>
      <c r="W15" s="26"/>
      <c r="X15" s="26"/>
      <c r="Y15" s="26"/>
      <c r="Z15" s="27"/>
      <c r="AA15" s="41"/>
      <c r="AB15" s="114"/>
    </row>
    <row r="16" spans="1:36" s="28" customFormat="1" ht="20.100000000000001" customHeight="1">
      <c r="A16" s="129"/>
      <c r="B16" s="139"/>
      <c r="C16" s="79"/>
      <c r="D16" s="85"/>
      <c r="E16" s="86"/>
      <c r="F16" s="87"/>
      <c r="G16" s="85"/>
      <c r="H16" s="86"/>
      <c r="I16" s="87"/>
      <c r="J16" s="138"/>
      <c r="K16" s="193"/>
      <c r="L16" s="134"/>
      <c r="M16" s="136"/>
      <c r="N16" s="135"/>
      <c r="O16" s="135"/>
      <c r="P16" s="134"/>
      <c r="Q16" s="133"/>
      <c r="R16" s="133"/>
      <c r="S16" s="132"/>
      <c r="T16" s="131"/>
      <c r="U16" s="130"/>
      <c r="V16" s="26"/>
      <c r="W16" s="26"/>
      <c r="X16" s="26"/>
      <c r="Y16" s="26"/>
      <c r="Z16" s="27"/>
      <c r="AA16" s="41"/>
      <c r="AB16" s="114"/>
    </row>
    <row r="17" spans="1:28" s="28" customFormat="1" ht="20.100000000000001" customHeight="1">
      <c r="A17" s="129"/>
      <c r="B17" s="139"/>
      <c r="C17" s="79"/>
      <c r="D17" s="85"/>
      <c r="E17" s="86"/>
      <c r="F17" s="87"/>
      <c r="G17" s="85"/>
      <c r="H17" s="86"/>
      <c r="I17" s="87"/>
      <c r="J17" s="138"/>
      <c r="K17" s="193"/>
      <c r="L17" s="134"/>
      <c r="M17" s="136"/>
      <c r="N17" s="135"/>
      <c r="O17" s="135"/>
      <c r="P17" s="134"/>
      <c r="Q17" s="133"/>
      <c r="R17" s="133"/>
      <c r="S17" s="132"/>
      <c r="T17" s="131"/>
      <c r="U17" s="130"/>
      <c r="V17" s="26"/>
      <c r="W17" s="26"/>
      <c r="X17" s="26"/>
      <c r="Y17" s="26"/>
      <c r="Z17" s="27"/>
      <c r="AA17" s="41"/>
      <c r="AB17" s="114"/>
    </row>
    <row r="18" spans="1:28" s="28" customFormat="1" ht="20.100000000000001" customHeight="1">
      <c r="A18" s="129"/>
      <c r="B18" s="139"/>
      <c r="C18" s="79"/>
      <c r="D18" s="85"/>
      <c r="E18" s="86"/>
      <c r="F18" s="87"/>
      <c r="G18" s="85"/>
      <c r="H18" s="86"/>
      <c r="I18" s="87"/>
      <c r="J18" s="138"/>
      <c r="K18" s="137"/>
      <c r="L18" s="134"/>
      <c r="M18" s="136"/>
      <c r="N18" s="135"/>
      <c r="O18" s="135"/>
      <c r="P18" s="134"/>
      <c r="Q18" s="133"/>
      <c r="R18" s="133"/>
      <c r="S18" s="132"/>
      <c r="T18" s="131"/>
      <c r="U18" s="130"/>
      <c r="V18" s="26"/>
      <c r="W18" s="26"/>
      <c r="X18" s="26"/>
      <c r="Y18" s="26"/>
      <c r="Z18" s="27"/>
      <c r="AA18" s="41"/>
      <c r="AB18" s="114"/>
    </row>
    <row r="19" spans="1:28" s="28" customFormat="1" ht="20.100000000000001" customHeight="1">
      <c r="A19" s="129"/>
      <c r="B19" s="139"/>
      <c r="C19" s="79"/>
      <c r="D19" s="85"/>
      <c r="E19" s="86"/>
      <c r="F19" s="87"/>
      <c r="G19" s="85"/>
      <c r="H19" s="86"/>
      <c r="I19" s="87"/>
      <c r="J19" s="138"/>
      <c r="K19" s="137"/>
      <c r="L19" s="134"/>
      <c r="M19" s="136"/>
      <c r="N19" s="135"/>
      <c r="O19" s="135"/>
      <c r="P19" s="134"/>
      <c r="Q19" s="133"/>
      <c r="R19" s="133"/>
      <c r="S19" s="132"/>
      <c r="T19" s="131"/>
      <c r="U19" s="130"/>
      <c r="V19" s="26"/>
      <c r="W19" s="26"/>
      <c r="X19" s="26"/>
      <c r="Y19" s="26"/>
      <c r="Z19" s="27"/>
      <c r="AA19" s="41"/>
      <c r="AB19" s="114"/>
    </row>
    <row r="20" spans="1:28" s="28" customFormat="1" ht="20.100000000000001" customHeight="1">
      <c r="A20" s="129"/>
      <c r="B20" s="139"/>
      <c r="C20" s="79"/>
      <c r="D20" s="85"/>
      <c r="E20" s="86"/>
      <c r="F20" s="87"/>
      <c r="G20" s="85"/>
      <c r="H20" s="86"/>
      <c r="I20" s="87"/>
      <c r="J20" s="138"/>
      <c r="K20" s="137"/>
      <c r="L20" s="134"/>
      <c r="M20" s="136"/>
      <c r="N20" s="135"/>
      <c r="O20" s="135"/>
      <c r="P20" s="134"/>
      <c r="Q20" s="133"/>
      <c r="R20" s="133"/>
      <c r="S20" s="132"/>
      <c r="T20" s="131"/>
      <c r="U20" s="130"/>
      <c r="V20" s="26"/>
      <c r="W20" s="26"/>
      <c r="X20" s="26"/>
      <c r="Y20" s="26"/>
      <c r="Z20" s="27"/>
      <c r="AA20" s="41"/>
      <c r="AB20" s="114"/>
    </row>
    <row r="21" spans="1:28" s="28" customFormat="1" ht="20.100000000000001" customHeight="1">
      <c r="A21" s="129"/>
      <c r="B21" s="139"/>
      <c r="C21" s="79"/>
      <c r="D21" s="85"/>
      <c r="E21" s="86"/>
      <c r="F21" s="87"/>
      <c r="G21" s="85"/>
      <c r="H21" s="86"/>
      <c r="I21" s="87"/>
      <c r="J21" s="138"/>
      <c r="K21" s="137"/>
      <c r="L21" s="134"/>
      <c r="M21" s="136"/>
      <c r="N21" s="135"/>
      <c r="O21" s="135"/>
      <c r="P21" s="134"/>
      <c r="Q21" s="133"/>
      <c r="R21" s="133"/>
      <c r="S21" s="132"/>
      <c r="T21" s="131"/>
      <c r="U21" s="130"/>
      <c r="V21" s="26"/>
      <c r="W21" s="26"/>
      <c r="X21" s="26"/>
      <c r="Y21" s="26"/>
      <c r="Z21" s="27"/>
      <c r="AA21" s="41"/>
      <c r="AB21" s="114"/>
    </row>
    <row r="22" spans="1:28" s="28" customFormat="1" ht="20.100000000000001" customHeight="1">
      <c r="A22" s="129"/>
      <c r="B22" s="139"/>
      <c r="C22" s="79"/>
      <c r="D22" s="85"/>
      <c r="E22" s="86"/>
      <c r="F22" s="87"/>
      <c r="G22" s="85"/>
      <c r="H22" s="86"/>
      <c r="I22" s="87"/>
      <c r="J22" s="138"/>
      <c r="K22" s="137"/>
      <c r="L22" s="134"/>
      <c r="M22" s="136"/>
      <c r="N22" s="135"/>
      <c r="O22" s="135"/>
      <c r="P22" s="134"/>
      <c r="Q22" s="133"/>
      <c r="R22" s="133"/>
      <c r="S22" s="132"/>
      <c r="T22" s="131"/>
      <c r="U22" s="130"/>
      <c r="V22" s="26"/>
      <c r="W22" s="26"/>
      <c r="X22" s="26"/>
      <c r="Y22" s="26"/>
      <c r="Z22" s="27"/>
      <c r="AA22" s="41"/>
      <c r="AB22" s="114"/>
    </row>
    <row r="23" spans="1:28" s="28" customFormat="1" ht="20.100000000000001" customHeight="1">
      <c r="A23" s="129"/>
      <c r="B23" s="139"/>
      <c r="C23" s="79"/>
      <c r="D23" s="85"/>
      <c r="E23" s="86"/>
      <c r="F23" s="87"/>
      <c r="G23" s="85"/>
      <c r="H23" s="86"/>
      <c r="I23" s="87"/>
      <c r="J23" s="138"/>
      <c r="K23" s="137"/>
      <c r="L23" s="134"/>
      <c r="M23" s="136"/>
      <c r="N23" s="135"/>
      <c r="O23" s="135"/>
      <c r="P23" s="134"/>
      <c r="Q23" s="133"/>
      <c r="R23" s="133"/>
      <c r="S23" s="132"/>
      <c r="T23" s="131"/>
      <c r="U23" s="130"/>
      <c r="V23" s="26"/>
      <c r="W23" s="26"/>
      <c r="X23" s="26"/>
      <c r="Y23" s="26"/>
      <c r="Z23" s="27"/>
      <c r="AA23" s="41"/>
      <c r="AB23" s="114"/>
    </row>
    <row r="24" spans="1:28" s="28" customFormat="1" ht="20.100000000000001" customHeight="1">
      <c r="A24" s="129"/>
      <c r="B24" s="139"/>
      <c r="C24" s="79"/>
      <c r="D24" s="85"/>
      <c r="E24" s="86"/>
      <c r="F24" s="87"/>
      <c r="G24" s="85"/>
      <c r="H24" s="86"/>
      <c r="I24" s="87"/>
      <c r="J24" s="138"/>
      <c r="K24" s="137"/>
      <c r="L24" s="134"/>
      <c r="M24" s="136"/>
      <c r="N24" s="135"/>
      <c r="O24" s="135"/>
      <c r="P24" s="134"/>
      <c r="Q24" s="133"/>
      <c r="R24" s="133"/>
      <c r="S24" s="132"/>
      <c r="T24" s="131"/>
      <c r="U24" s="130"/>
      <c r="V24" s="26"/>
      <c r="W24" s="26"/>
      <c r="X24" s="26"/>
      <c r="Y24" s="26"/>
      <c r="Z24" s="27"/>
      <c r="AA24" s="41"/>
      <c r="AB24" s="114"/>
    </row>
    <row r="25" spans="1:28" s="28" customFormat="1" ht="20.100000000000001" customHeight="1">
      <c r="A25" s="129"/>
      <c r="B25" s="139"/>
      <c r="C25" s="79"/>
      <c r="D25" s="85"/>
      <c r="E25" s="86"/>
      <c r="F25" s="87"/>
      <c r="G25" s="85"/>
      <c r="H25" s="86"/>
      <c r="I25" s="87"/>
      <c r="J25" s="138"/>
      <c r="K25" s="137"/>
      <c r="L25" s="134"/>
      <c r="M25" s="136"/>
      <c r="N25" s="135"/>
      <c r="O25" s="135"/>
      <c r="P25" s="134"/>
      <c r="Q25" s="133"/>
      <c r="R25" s="133"/>
      <c r="S25" s="154"/>
      <c r="T25" s="153"/>
      <c r="U25" s="130"/>
      <c r="V25" s="26"/>
      <c r="W25" s="26"/>
      <c r="X25" s="26"/>
      <c r="Y25" s="26"/>
      <c r="Z25" s="27"/>
      <c r="AA25" s="41"/>
      <c r="AB25" s="114"/>
    </row>
    <row r="26" spans="1:28" s="28" customFormat="1" ht="20.100000000000001" customHeight="1">
      <c r="A26" s="129"/>
      <c r="B26" s="139"/>
      <c r="C26" s="79"/>
      <c r="D26" s="85"/>
      <c r="E26" s="86"/>
      <c r="F26" s="87"/>
      <c r="G26" s="85"/>
      <c r="H26" s="86"/>
      <c r="I26" s="87"/>
      <c r="J26" s="138"/>
      <c r="K26" s="137"/>
      <c r="L26" s="134"/>
      <c r="M26" s="136"/>
      <c r="N26" s="135"/>
      <c r="O26" s="135"/>
      <c r="P26" s="134"/>
      <c r="Q26" s="133"/>
      <c r="R26" s="133"/>
      <c r="S26" s="132"/>
      <c r="T26" s="131"/>
      <c r="U26" s="130"/>
      <c r="V26" s="26"/>
      <c r="W26" s="26"/>
      <c r="X26" s="26"/>
      <c r="Y26" s="26"/>
      <c r="Z26" s="27"/>
      <c r="AA26" s="41"/>
      <c r="AB26" s="114"/>
    </row>
    <row r="27" spans="1:28" s="28" customFormat="1" ht="20.100000000000001" customHeight="1">
      <c r="A27" s="129"/>
      <c r="B27" s="139"/>
      <c r="C27" s="79"/>
      <c r="D27" s="85"/>
      <c r="E27" s="86"/>
      <c r="F27" s="87"/>
      <c r="G27" s="85"/>
      <c r="H27" s="86"/>
      <c r="I27" s="87"/>
      <c r="J27" s="138"/>
      <c r="K27" s="137"/>
      <c r="L27" s="134"/>
      <c r="M27" s="136"/>
      <c r="N27" s="135"/>
      <c r="O27" s="135"/>
      <c r="P27" s="134"/>
      <c r="Q27" s="133"/>
      <c r="R27" s="133"/>
      <c r="S27" s="132"/>
      <c r="T27" s="131"/>
      <c r="U27" s="130"/>
      <c r="V27" s="26"/>
      <c r="W27" s="26"/>
      <c r="X27" s="26"/>
      <c r="Y27" s="26"/>
      <c r="Z27" s="27"/>
      <c r="AA27" s="41"/>
      <c r="AB27" s="114"/>
    </row>
    <row r="28" spans="1:28" s="28" customFormat="1" ht="20.100000000000001" customHeight="1">
      <c r="A28" s="129"/>
      <c r="B28" s="139"/>
      <c r="C28" s="79"/>
      <c r="D28" s="85"/>
      <c r="E28" s="86"/>
      <c r="F28" s="87"/>
      <c r="G28" s="85"/>
      <c r="H28" s="86"/>
      <c r="I28" s="87"/>
      <c r="J28" s="138"/>
      <c r="K28" s="137"/>
      <c r="L28" s="134"/>
      <c r="M28" s="136"/>
      <c r="N28" s="135"/>
      <c r="O28" s="135"/>
      <c r="P28" s="134"/>
      <c r="Q28" s="133"/>
      <c r="R28" s="133"/>
      <c r="S28" s="132"/>
      <c r="T28" s="131"/>
      <c r="U28" s="130"/>
      <c r="V28" s="26"/>
      <c r="W28" s="26"/>
      <c r="X28" s="26"/>
      <c r="Y28" s="26"/>
      <c r="Z28" s="27"/>
      <c r="AA28" s="41"/>
      <c r="AB28" s="114"/>
    </row>
    <row r="29" spans="1:28" s="28" customFormat="1" ht="20.100000000000001" customHeight="1">
      <c r="A29" s="129"/>
      <c r="B29" s="139"/>
      <c r="C29" s="79"/>
      <c r="D29" s="85"/>
      <c r="E29" s="86"/>
      <c r="F29" s="87"/>
      <c r="G29" s="85"/>
      <c r="H29" s="86"/>
      <c r="I29" s="87"/>
      <c r="J29" s="138"/>
      <c r="K29" s="137"/>
      <c r="L29" s="134"/>
      <c r="M29" s="136"/>
      <c r="N29" s="135"/>
      <c r="O29" s="135"/>
      <c r="P29" s="134"/>
      <c r="Q29" s="133"/>
      <c r="R29" s="133"/>
      <c r="S29" s="132"/>
      <c r="T29" s="131"/>
      <c r="U29" s="130"/>
      <c r="V29" s="26"/>
      <c r="W29" s="26"/>
      <c r="X29" s="26"/>
      <c r="Y29" s="26"/>
      <c r="Z29" s="27"/>
      <c r="AA29" s="41"/>
      <c r="AB29" s="114"/>
    </row>
    <row r="30" spans="1:28" s="28" customFormat="1" ht="20.100000000000001" customHeight="1">
      <c r="A30" s="129"/>
      <c r="B30" s="139"/>
      <c r="C30" s="79"/>
      <c r="D30" s="85"/>
      <c r="E30" s="86"/>
      <c r="F30" s="87"/>
      <c r="G30" s="85"/>
      <c r="H30" s="86"/>
      <c r="I30" s="87"/>
      <c r="J30" s="138"/>
      <c r="K30" s="137"/>
      <c r="L30" s="134"/>
      <c r="M30" s="136"/>
      <c r="N30" s="135"/>
      <c r="O30" s="135"/>
      <c r="P30" s="134"/>
      <c r="Q30" s="133"/>
      <c r="R30" s="133"/>
      <c r="S30" s="132"/>
      <c r="T30" s="131"/>
      <c r="U30" s="130"/>
      <c r="V30" s="26"/>
      <c r="W30" s="26"/>
      <c r="X30" s="26"/>
      <c r="Y30" s="26"/>
      <c r="Z30" s="27"/>
      <c r="AA30" s="41"/>
      <c r="AB30" s="114"/>
    </row>
    <row r="31" spans="1:28" s="28" customFormat="1" ht="20.100000000000001" customHeight="1">
      <c r="A31" s="129"/>
      <c r="B31" s="139"/>
      <c r="C31" s="79"/>
      <c r="D31" s="85"/>
      <c r="E31" s="86"/>
      <c r="F31" s="87"/>
      <c r="G31" s="85"/>
      <c r="H31" s="86"/>
      <c r="I31" s="87"/>
      <c r="J31" s="138"/>
      <c r="K31" s="137"/>
      <c r="L31" s="134"/>
      <c r="M31" s="136"/>
      <c r="N31" s="135"/>
      <c r="O31" s="135"/>
      <c r="P31" s="134"/>
      <c r="Q31" s="133"/>
      <c r="R31" s="133"/>
      <c r="S31" s="132"/>
      <c r="T31" s="131"/>
      <c r="U31" s="130"/>
      <c r="V31" s="26"/>
      <c r="W31" s="26"/>
      <c r="X31" s="26"/>
      <c r="Y31" s="26"/>
      <c r="Z31" s="27"/>
      <c r="AA31" s="41"/>
      <c r="AB31" s="114"/>
    </row>
    <row r="32" spans="1:28" s="28" customFormat="1" ht="20.100000000000001" customHeight="1">
      <c r="A32" s="129"/>
      <c r="B32" s="139"/>
      <c r="C32" s="79"/>
      <c r="D32" s="85"/>
      <c r="E32" s="86"/>
      <c r="F32" s="87"/>
      <c r="G32" s="85"/>
      <c r="H32" s="86"/>
      <c r="I32" s="87"/>
      <c r="J32" s="138"/>
      <c r="K32" s="137"/>
      <c r="L32" s="134"/>
      <c r="M32" s="136"/>
      <c r="N32" s="135"/>
      <c r="O32" s="135"/>
      <c r="P32" s="134"/>
      <c r="Q32" s="133"/>
      <c r="R32" s="133"/>
      <c r="S32" s="132"/>
      <c r="T32" s="131"/>
      <c r="U32" s="130"/>
      <c r="V32" s="26"/>
      <c r="W32" s="26"/>
      <c r="X32" s="26"/>
      <c r="Y32" s="26"/>
      <c r="Z32" s="27"/>
      <c r="AA32" s="41"/>
      <c r="AB32" s="114"/>
    </row>
    <row r="33" spans="1:28" s="28" customFormat="1" ht="20.100000000000001" customHeight="1">
      <c r="A33" s="129"/>
      <c r="B33" s="139"/>
      <c r="C33" s="79"/>
      <c r="D33" s="85"/>
      <c r="E33" s="86"/>
      <c r="F33" s="87"/>
      <c r="G33" s="85"/>
      <c r="H33" s="86"/>
      <c r="I33" s="87"/>
      <c r="J33" s="138"/>
      <c r="K33" s="137"/>
      <c r="L33" s="134"/>
      <c r="M33" s="136"/>
      <c r="N33" s="135"/>
      <c r="O33" s="135"/>
      <c r="P33" s="134"/>
      <c r="Q33" s="133"/>
      <c r="R33" s="133"/>
      <c r="S33" s="132"/>
      <c r="T33" s="131"/>
      <c r="U33" s="130"/>
      <c r="V33" s="26"/>
      <c r="W33" s="26"/>
      <c r="X33" s="26"/>
      <c r="Y33" s="26"/>
      <c r="Z33" s="27"/>
      <c r="AA33" s="41"/>
      <c r="AB33" s="114"/>
    </row>
    <row r="34" spans="1:28" s="28" customFormat="1" ht="20.100000000000001" customHeight="1">
      <c r="A34" s="129"/>
      <c r="B34" s="139"/>
      <c r="C34" s="79"/>
      <c r="D34" s="85"/>
      <c r="E34" s="86"/>
      <c r="F34" s="87"/>
      <c r="G34" s="85"/>
      <c r="H34" s="86"/>
      <c r="I34" s="87"/>
      <c r="J34" s="138"/>
      <c r="K34" s="137"/>
      <c r="L34" s="134"/>
      <c r="M34" s="136"/>
      <c r="N34" s="135"/>
      <c r="O34" s="135"/>
      <c r="P34" s="134"/>
      <c r="Q34" s="133"/>
      <c r="R34" s="133"/>
      <c r="S34" s="132"/>
      <c r="T34" s="131"/>
      <c r="U34" s="130"/>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133"/>
      <c r="R35" s="133"/>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133"/>
      <c r="R36" s="133"/>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133"/>
      <c r="R37" s="133"/>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28" customFormat="1" ht="20.100000000000001" customHeight="1">
      <c r="A48" s="129"/>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114"/>
    </row>
    <row r="49" spans="1:28" s="9" customFormat="1" ht="20.100000000000001" customHeight="1">
      <c r="A49" s="14"/>
      <c r="B49" s="128"/>
      <c r="C49" s="127"/>
      <c r="D49" s="126"/>
      <c r="E49" s="125"/>
      <c r="F49" s="124"/>
      <c r="G49" s="126"/>
      <c r="H49" s="125"/>
      <c r="I49" s="124"/>
      <c r="J49" s="123"/>
      <c r="K49" s="122"/>
      <c r="L49" s="119"/>
      <c r="M49" s="121"/>
      <c r="N49" s="120"/>
      <c r="O49" s="120"/>
      <c r="P49" s="119"/>
      <c r="Q49" s="118"/>
      <c r="R49" s="118"/>
      <c r="S49" s="117"/>
      <c r="T49" s="116"/>
      <c r="U49" s="115"/>
      <c r="V49" s="26"/>
      <c r="W49" s="26"/>
      <c r="X49" s="26"/>
      <c r="Y49" s="26"/>
      <c r="Z49" s="27"/>
      <c r="AA49" s="41"/>
      <c r="AB49" s="42"/>
    </row>
    <row r="50" spans="1:28" ht="20.100000000000001" customHeight="1">
      <c r="B50" s="109"/>
      <c r="C50" s="113"/>
      <c r="D50" s="2670" t="s">
        <v>18</v>
      </c>
      <c r="E50" s="2671"/>
      <c r="F50" s="2671"/>
      <c r="G50" s="2671"/>
      <c r="H50" s="2671"/>
      <c r="I50" s="2672"/>
      <c r="J50" s="2694" t="e">
        <f>VLOOKUP(A52,#REF!,6,FALSE)</f>
        <v>#REF!</v>
      </c>
      <c r="K50" s="2695"/>
      <c r="L50" s="112" t="s">
        <v>6</v>
      </c>
      <c r="M50" s="2696" t="s">
        <v>19</v>
      </c>
      <c r="N50" s="2697"/>
      <c r="O50" s="2697"/>
      <c r="P50" s="2697"/>
      <c r="Q50" s="2698"/>
      <c r="R50" s="111">
        <f>SUM(R14:R49)</f>
        <v>53.644500000000008</v>
      </c>
      <c r="S50" s="110" t="str">
        <f>L50</f>
        <v>t</v>
      </c>
      <c r="T50" s="106"/>
      <c r="U50" s="105"/>
    </row>
    <row r="51" spans="1:28" ht="20.100000000000001" customHeight="1">
      <c r="B51" s="109"/>
      <c r="C51" s="72"/>
      <c r="D51" s="2678" t="s">
        <v>20</v>
      </c>
      <c r="E51" s="2728"/>
      <c r="F51" s="2728"/>
      <c r="G51" s="2728"/>
      <c r="H51" s="2728"/>
      <c r="I51" s="2729"/>
      <c r="J51" s="2699" t="e">
        <f>R50/J50</f>
        <v>#REF!</v>
      </c>
      <c r="K51" s="2730"/>
      <c r="L51" s="2703"/>
      <c r="M51" s="2705" t="s">
        <v>21</v>
      </c>
      <c r="N51" s="2706"/>
      <c r="O51" s="2706"/>
      <c r="P51" s="2706"/>
      <c r="Q51" s="2707"/>
      <c r="R51" s="108">
        <f>SUM(R14)</f>
        <v>53.644500000000008</v>
      </c>
      <c r="S51" s="107" t="str">
        <f>L50</f>
        <v>t</v>
      </c>
      <c r="T51" s="106"/>
      <c r="U51" s="105"/>
    </row>
    <row r="52" spans="1:28" ht="20.100000000000001" customHeight="1">
      <c r="A52" s="12" t="s">
        <v>184</v>
      </c>
      <c r="B52" s="213"/>
      <c r="C52" s="73"/>
      <c r="D52" s="2670"/>
      <c r="E52" s="2671"/>
      <c r="F52" s="2671"/>
      <c r="G52" s="2671"/>
      <c r="H52" s="2671"/>
      <c r="I52" s="2672"/>
      <c r="J52" s="2701"/>
      <c r="K52" s="2702"/>
      <c r="L52" s="2704"/>
      <c r="M52" s="2705" t="s">
        <v>22</v>
      </c>
      <c r="N52" s="2706"/>
      <c r="O52" s="2706"/>
      <c r="P52" s="2706"/>
      <c r="Q52" s="2707"/>
      <c r="R52" s="103">
        <f>R50-R51</f>
        <v>0</v>
      </c>
      <c r="S52" s="102" t="str">
        <f>L50</f>
        <v>t</v>
      </c>
      <c r="T52" s="101"/>
      <c r="U52" s="100"/>
    </row>
  </sheetData>
  <mergeCells count="33">
    <mergeCell ref="T12:T13"/>
    <mergeCell ref="D51:I52"/>
    <mergeCell ref="J51:K52"/>
    <mergeCell ref="L51:L52"/>
    <mergeCell ref="M51:Q51"/>
    <mergeCell ref="M52:Q52"/>
    <mergeCell ref="D50:I50"/>
    <mergeCell ref="J50:K50"/>
    <mergeCell ref="M50:Q50"/>
    <mergeCell ref="N12:N13"/>
    <mergeCell ref="O12:O13"/>
    <mergeCell ref="Q12:Q13"/>
    <mergeCell ref="T9:U9"/>
    <mergeCell ref="T10:U10"/>
    <mergeCell ref="C11:L11"/>
    <mergeCell ref="B12:B13"/>
    <mergeCell ref="C12:C13"/>
    <mergeCell ref="D12:I12"/>
    <mergeCell ref="J12:J13"/>
    <mergeCell ref="K12:K13"/>
    <mergeCell ref="L12:L13"/>
    <mergeCell ref="M12:M13"/>
    <mergeCell ref="P12:P13"/>
    <mergeCell ref="U12:U13"/>
    <mergeCell ref="D13:F13"/>
    <mergeCell ref="G13:I13"/>
    <mergeCell ref="R12:R13"/>
    <mergeCell ref="S12:S13"/>
    <mergeCell ref="T8:U8"/>
    <mergeCell ref="B1:U5"/>
    <mergeCell ref="V5:AA5"/>
    <mergeCell ref="B6:I6"/>
    <mergeCell ref="K6:U6"/>
  </mergeCells>
  <conditionalFormatting sqref="J51:K52">
    <cfRule type="cellIs" dxfId="17" priority="1" operator="greaterThanOrEqual">
      <formula>1</formula>
    </cfRule>
    <cfRule type="cellIs" dxfId="16" priority="2" operator="greaterThan">
      <formula>100%</formula>
    </cfRule>
  </conditionalFormatting>
  <printOptions horizontalCentered="1"/>
  <pageMargins left="0.39370078740157483" right="0.39370078740157483" top="0.78740157480314965" bottom="0.78740157480314965" header="0" footer="0.19685039370078741"/>
  <pageSetup paperSize="9" scale="44"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499984740745262"/>
    <pageSetUpPr fitToPage="1"/>
  </sheetPr>
  <dimension ref="A1:AJ52"/>
  <sheetViews>
    <sheetView showGridLines="0" view="pageBreakPreview" topLeftCell="A10" zoomScale="60" zoomScaleNormal="100" workbookViewId="0">
      <selection activeCell="T41" sqref="T41"/>
    </sheetView>
  </sheetViews>
  <sheetFormatPr defaultRowHeight="12.75"/>
  <cols>
    <col min="1" max="1" width="9.140625" style="12"/>
    <col min="2" max="2" width="16.8554687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8" width="15.7109375" style="8" customWidth="1"/>
    <col min="19" max="19" width="9" style="8" customWidth="1"/>
    <col min="20" max="20" width="15.7109375" style="8" customWidth="1"/>
    <col min="21" max="21" width="38.140625" style="8" bestFit="1" customWidth="1"/>
    <col min="22" max="27" width="9.140625" style="8"/>
    <col min="28" max="28" width="12.7109375" style="15" customWidth="1"/>
    <col min="29" max="16384" width="9.140625" style="8"/>
  </cols>
  <sheetData>
    <row r="1" spans="1:36" ht="18.75" customHeight="1">
      <c r="B1" s="2652" t="s">
        <v>115</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655" t="s">
        <v>9</v>
      </c>
      <c r="C6" s="2656"/>
      <c r="D6" s="2656"/>
      <c r="E6" s="2656"/>
      <c r="F6" s="2656"/>
      <c r="G6" s="2656"/>
      <c r="H6" s="2656"/>
      <c r="I6" s="2748"/>
      <c r="J6" s="2749" t="s">
        <v>10</v>
      </c>
      <c r="K6" s="2750"/>
      <c r="L6" s="2750"/>
      <c r="M6" s="2750"/>
      <c r="N6" s="2750"/>
      <c r="O6" s="2750"/>
      <c r="P6" s="2750"/>
      <c r="Q6" s="2750"/>
      <c r="R6" s="2750"/>
      <c r="S6" s="2750"/>
      <c r="T6" s="2750"/>
      <c r="U6" s="2751"/>
      <c r="V6" s="99"/>
      <c r="W6" s="99"/>
      <c r="X6" s="99"/>
      <c r="Y6" s="99"/>
      <c r="Z6" s="99"/>
      <c r="AA6" s="99"/>
      <c r="AB6" s="17"/>
    </row>
    <row r="7" spans="1:36" s="20" customFormat="1" ht="15.75">
      <c r="A7" s="19"/>
      <c r="B7" s="152" t="s">
        <v>96</v>
      </c>
      <c r="C7" s="149" t="e">
        <f>#REF!</f>
        <v>#REF!</v>
      </c>
      <c r="D7" s="145"/>
      <c r="E7" s="92"/>
      <c r="F7" s="92"/>
      <c r="G7" s="145"/>
      <c r="H7" s="92"/>
      <c r="I7" s="92"/>
      <c r="J7" s="214" t="s">
        <v>114</v>
      </c>
      <c r="K7" s="145"/>
      <c r="L7" s="94"/>
      <c r="M7" s="93"/>
      <c r="N7" s="93"/>
      <c r="O7" s="93"/>
      <c r="P7" s="93"/>
      <c r="Q7" s="93"/>
      <c r="R7" s="93"/>
      <c r="S7" s="94"/>
      <c r="T7" s="94"/>
      <c r="U7" s="95"/>
      <c r="AB7" s="21"/>
    </row>
    <row r="8" spans="1:36" s="20" customFormat="1" ht="15.75">
      <c r="A8" s="19"/>
      <c r="B8" s="148" t="s">
        <v>79</v>
      </c>
      <c r="C8" s="149" t="e">
        <f>#REF!</f>
        <v>#REF!</v>
      </c>
      <c r="D8" s="145"/>
      <c r="E8" s="92"/>
      <c r="F8" s="92"/>
      <c r="G8" s="145"/>
      <c r="H8" s="92"/>
      <c r="I8" s="92"/>
      <c r="J8" s="146" t="s">
        <v>276</v>
      </c>
      <c r="K8" s="145"/>
      <c r="L8" s="145"/>
      <c r="M8" s="145"/>
      <c r="N8" s="96"/>
      <c r="O8" s="96"/>
      <c r="P8" s="96"/>
      <c r="Q8" s="96"/>
      <c r="R8" s="96"/>
      <c r="S8" s="145"/>
      <c r="T8" s="2647"/>
      <c r="U8" s="2648"/>
      <c r="AB8" s="21"/>
    </row>
    <row r="9" spans="1:36" s="20" customFormat="1" ht="15.75">
      <c r="A9" s="19"/>
      <c r="B9" s="148" t="s">
        <v>11</v>
      </c>
      <c r="C9" s="206" t="e">
        <f>VLOOKUP(B9,[0]!_xlnm.Print_Area,2,FALSE)</f>
        <v>#REF!</v>
      </c>
      <c r="D9" s="145"/>
      <c r="E9" s="92"/>
      <c r="F9" s="92"/>
      <c r="G9" s="145"/>
      <c r="H9" s="92"/>
      <c r="I9" s="92"/>
      <c r="J9" s="146" t="s">
        <v>277</v>
      </c>
      <c r="K9" s="145"/>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223" t="e">
        <f>VLOOKUP(B10,[0]!_xlnm.Print_Area,2,FALSE)</f>
        <v>#REF!</v>
      </c>
      <c r="D10" s="145"/>
      <c r="E10" s="92"/>
      <c r="F10" s="92"/>
      <c r="G10" s="145"/>
      <c r="H10" s="92"/>
      <c r="I10" s="92"/>
      <c r="J10" s="146" t="s">
        <v>278</v>
      </c>
      <c r="K10" s="145"/>
      <c r="L10" s="92"/>
      <c r="M10" s="92"/>
      <c r="N10" s="92"/>
      <c r="O10" s="92"/>
      <c r="P10" s="202"/>
      <c r="Q10" s="202"/>
      <c r="R10" s="202"/>
      <c r="S10" s="202"/>
      <c r="T10" s="2660"/>
      <c r="U10" s="2661"/>
      <c r="AA10" s="22"/>
      <c r="AB10" s="22"/>
      <c r="AC10" s="22"/>
      <c r="AD10" s="22"/>
      <c r="AE10" s="22"/>
      <c r="AF10" s="22"/>
      <c r="AG10" s="22"/>
      <c r="AH10" s="22"/>
      <c r="AI10" s="22"/>
      <c r="AJ10" s="22"/>
    </row>
    <row r="11" spans="1:36" s="29" customFormat="1" ht="21" customHeight="1">
      <c r="A11" s="23"/>
      <c r="B11" s="143" t="str">
        <f>LEFT(A52,1)</f>
        <v>9</v>
      </c>
      <c r="C11" s="2662" t="e">
        <f>VLOOKUP(B11,#REF!,3,FALSE)</f>
        <v>#REF!</v>
      </c>
      <c r="D11" s="2663"/>
      <c r="E11" s="2663"/>
      <c r="F11" s="2663"/>
      <c r="G11" s="2663"/>
      <c r="H11" s="2663"/>
      <c r="I11" s="2663"/>
      <c r="J11" s="2663"/>
      <c r="K11" s="2663"/>
      <c r="L11" s="2663"/>
      <c r="M11" s="207"/>
      <c r="N11" s="207"/>
      <c r="O11" s="207"/>
      <c r="P11" s="207"/>
      <c r="Q11" s="207"/>
      <c r="R11" s="207"/>
      <c r="S11" s="207"/>
      <c r="T11" s="207"/>
      <c r="U11" s="208"/>
      <c r="V11" s="26"/>
      <c r="W11" s="26"/>
      <c r="X11" s="26"/>
      <c r="Y11" s="26"/>
      <c r="Z11" s="27"/>
      <c r="AA11" s="28"/>
      <c r="AB11" s="28"/>
      <c r="AC11" s="28"/>
      <c r="AD11" s="28"/>
      <c r="AE11" s="28"/>
      <c r="AF11" s="28"/>
      <c r="AG11" s="28"/>
      <c r="AH11" s="28"/>
      <c r="AI11" s="28"/>
      <c r="AJ11" s="28"/>
    </row>
    <row r="12" spans="1:36" s="29" customFormat="1" ht="24.95" customHeight="1">
      <c r="A12" s="23"/>
      <c r="B12" s="2664" t="e">
        <f>VLOOKUP(A52,#REF!,2,FALSE)</f>
        <v>#REF!</v>
      </c>
      <c r="C12" s="2665" t="e">
        <f>VLOOKUP(A52,#REF!,3,FALSE)</f>
        <v>#REF!</v>
      </c>
      <c r="D12" s="2666" t="s">
        <v>97</v>
      </c>
      <c r="E12" s="2666"/>
      <c r="F12" s="2666"/>
      <c r="G12" s="2666"/>
      <c r="H12" s="2666"/>
      <c r="I12" s="2666"/>
      <c r="J12" s="2668" t="s">
        <v>98</v>
      </c>
      <c r="K12" s="2668" t="s">
        <v>102</v>
      </c>
      <c r="L12" s="2668" t="s">
        <v>103</v>
      </c>
      <c r="M12" s="2668" t="s">
        <v>113</v>
      </c>
      <c r="N12" s="2668" t="s">
        <v>112</v>
      </c>
      <c r="O12" s="2668" t="s">
        <v>107</v>
      </c>
      <c r="P12" s="2668" t="s">
        <v>111</v>
      </c>
      <c r="Q12" s="2668" t="s">
        <v>16</v>
      </c>
      <c r="R12" s="2668" t="s">
        <v>2</v>
      </c>
      <c r="S12" s="2668" t="s">
        <v>99</v>
      </c>
      <c r="T12" s="2668" t="s">
        <v>17</v>
      </c>
      <c r="U12" s="2667" t="s">
        <v>110</v>
      </c>
      <c r="V12" s="26"/>
      <c r="W12" s="26"/>
      <c r="X12" s="26"/>
      <c r="Y12" s="26"/>
      <c r="Z12" s="27"/>
      <c r="AA12" s="28"/>
      <c r="AB12" s="28"/>
      <c r="AC12" s="28"/>
      <c r="AD12" s="28"/>
      <c r="AE12" s="28"/>
      <c r="AF12" s="28"/>
      <c r="AG12" s="28"/>
      <c r="AH12" s="28"/>
      <c r="AI12" s="28"/>
      <c r="AJ12" s="28"/>
    </row>
    <row r="13" spans="1:36" s="29" customFormat="1" ht="24.95" customHeight="1">
      <c r="A13" s="23"/>
      <c r="B13" s="2664"/>
      <c r="C13" s="2665"/>
      <c r="D13" s="2669" t="s">
        <v>14</v>
      </c>
      <c r="E13" s="2669"/>
      <c r="F13" s="2669"/>
      <c r="G13" s="2667" t="s">
        <v>15</v>
      </c>
      <c r="H13" s="2667"/>
      <c r="I13" s="2667"/>
      <c r="J13" s="2417"/>
      <c r="K13" s="2417"/>
      <c r="L13" s="2417"/>
      <c r="M13" s="2417"/>
      <c r="N13" s="2417"/>
      <c r="O13" s="2417"/>
      <c r="P13" s="2417"/>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39"/>
      <c r="C14" s="79" t="s">
        <v>206</v>
      </c>
      <c r="D14" s="156">
        <v>307</v>
      </c>
      <c r="E14" s="86" t="s">
        <v>68</v>
      </c>
      <c r="F14" s="155">
        <v>7</v>
      </c>
      <c r="G14" s="156">
        <v>308</v>
      </c>
      <c r="H14" s="86" t="s">
        <v>68</v>
      </c>
      <c r="I14" s="155">
        <v>0</v>
      </c>
      <c r="J14" s="138"/>
      <c r="K14" s="215"/>
      <c r="L14" s="134"/>
      <c r="M14" s="136"/>
      <c r="N14" s="135"/>
      <c r="O14" s="135"/>
      <c r="P14" s="134"/>
      <c r="Q14" s="133"/>
      <c r="R14" s="133">
        <v>39.299999999999997</v>
      </c>
      <c r="S14" s="132" t="s">
        <v>8</v>
      </c>
      <c r="T14" s="140" t="s">
        <v>93</v>
      </c>
      <c r="U14" s="212"/>
      <c r="V14" s="26"/>
      <c r="W14" s="26"/>
      <c r="X14" s="26"/>
      <c r="Y14" s="26"/>
      <c r="Z14" s="27"/>
    </row>
    <row r="15" spans="1:36" s="28" customFormat="1" ht="20.100000000000001" customHeight="1">
      <c r="A15" s="129"/>
      <c r="B15" s="139"/>
      <c r="C15" s="79"/>
      <c r="D15" s="85"/>
      <c r="E15" s="86"/>
      <c r="F15" s="87"/>
      <c r="G15" s="85"/>
      <c r="H15" s="86"/>
      <c r="I15" s="87"/>
      <c r="J15" s="138"/>
      <c r="K15" s="215"/>
      <c r="L15" s="134"/>
      <c r="M15" s="136"/>
      <c r="N15" s="135"/>
      <c r="O15" s="135"/>
      <c r="P15" s="134"/>
      <c r="Q15" s="133"/>
      <c r="R15" s="133"/>
      <c r="S15" s="132"/>
      <c r="T15" s="140"/>
      <c r="U15" s="212"/>
      <c r="V15" s="26"/>
      <c r="W15" s="26"/>
      <c r="X15" s="26"/>
      <c r="Y15" s="26"/>
      <c r="Z15" s="27"/>
      <c r="AA15" s="41"/>
      <c r="AB15" s="114"/>
    </row>
    <row r="16" spans="1:36" s="28" customFormat="1" ht="20.100000000000001" customHeight="1">
      <c r="A16" s="129"/>
      <c r="B16" s="139"/>
      <c r="C16" s="79"/>
      <c r="D16" s="85"/>
      <c r="E16" s="86"/>
      <c r="F16" s="87"/>
      <c r="G16" s="85"/>
      <c r="H16" s="86"/>
      <c r="I16" s="87"/>
      <c r="J16" s="138"/>
      <c r="K16" s="193"/>
      <c r="L16" s="134"/>
      <c r="M16" s="136"/>
      <c r="N16" s="135"/>
      <c r="O16" s="135"/>
      <c r="P16" s="134"/>
      <c r="Q16" s="133"/>
      <c r="R16" s="133"/>
      <c r="S16" s="132"/>
      <c r="T16" s="131"/>
      <c r="U16" s="130"/>
      <c r="V16" s="26"/>
      <c r="W16" s="26"/>
      <c r="X16" s="26"/>
      <c r="Y16" s="26"/>
      <c r="Z16" s="27"/>
      <c r="AA16" s="41"/>
      <c r="AB16" s="114"/>
    </row>
    <row r="17" spans="1:28" s="28" customFormat="1" ht="20.100000000000001" customHeight="1">
      <c r="A17" s="129"/>
      <c r="B17" s="139"/>
      <c r="C17" s="79"/>
      <c r="D17" s="85"/>
      <c r="E17" s="86"/>
      <c r="F17" s="87"/>
      <c r="G17" s="85"/>
      <c r="H17" s="86"/>
      <c r="I17" s="87"/>
      <c r="J17" s="138"/>
      <c r="K17" s="193"/>
      <c r="L17" s="134"/>
      <c r="M17" s="136"/>
      <c r="N17" s="135"/>
      <c r="O17" s="135"/>
      <c r="P17" s="134"/>
      <c r="Q17" s="133"/>
      <c r="R17" s="133"/>
      <c r="S17" s="132"/>
      <c r="T17" s="131"/>
      <c r="U17" s="130"/>
      <c r="V17" s="26"/>
      <c r="W17" s="26"/>
      <c r="X17" s="26"/>
      <c r="Y17" s="26"/>
      <c r="Z17" s="27"/>
      <c r="AA17" s="41"/>
      <c r="AB17" s="114"/>
    </row>
    <row r="18" spans="1:28" s="28" customFormat="1" ht="20.100000000000001" customHeight="1">
      <c r="A18" s="129"/>
      <c r="B18" s="139"/>
      <c r="C18" s="79"/>
      <c r="D18" s="85"/>
      <c r="E18" s="86"/>
      <c r="F18" s="87"/>
      <c r="G18" s="85"/>
      <c r="H18" s="86"/>
      <c r="I18" s="87"/>
      <c r="J18" s="138"/>
      <c r="K18" s="137"/>
      <c r="L18" s="134"/>
      <c r="M18" s="136"/>
      <c r="N18" s="135"/>
      <c r="O18" s="135"/>
      <c r="P18" s="134"/>
      <c r="Q18" s="133"/>
      <c r="R18" s="133"/>
      <c r="S18" s="132"/>
      <c r="T18" s="131"/>
      <c r="U18" s="130"/>
      <c r="V18" s="26"/>
      <c r="W18" s="26"/>
      <c r="X18" s="26"/>
      <c r="Y18" s="26"/>
      <c r="Z18" s="27"/>
      <c r="AA18" s="41"/>
      <c r="AB18" s="114"/>
    </row>
    <row r="19" spans="1:28" s="28" customFormat="1" ht="20.100000000000001" customHeight="1">
      <c r="A19" s="129"/>
      <c r="B19" s="139"/>
      <c r="C19" s="79"/>
      <c r="D19" s="85"/>
      <c r="E19" s="86"/>
      <c r="F19" s="87"/>
      <c r="G19" s="85"/>
      <c r="H19" s="86"/>
      <c r="I19" s="87"/>
      <c r="J19" s="138"/>
      <c r="K19" s="137"/>
      <c r="L19" s="134"/>
      <c r="M19" s="136"/>
      <c r="N19" s="135"/>
      <c r="O19" s="135"/>
      <c r="P19" s="134"/>
      <c r="Q19" s="133"/>
      <c r="R19" s="133"/>
      <c r="S19" s="132"/>
      <c r="T19" s="131"/>
      <c r="U19" s="130"/>
      <c r="V19" s="26"/>
      <c r="W19" s="26"/>
      <c r="X19" s="26"/>
      <c r="Y19" s="26"/>
      <c r="Z19" s="27"/>
      <c r="AA19" s="41"/>
      <c r="AB19" s="114"/>
    </row>
    <row r="20" spans="1:28" s="28" customFormat="1" ht="20.100000000000001" customHeight="1">
      <c r="A20" s="129"/>
      <c r="B20" s="139"/>
      <c r="C20" s="79"/>
      <c r="D20" s="85"/>
      <c r="E20" s="86"/>
      <c r="F20" s="87"/>
      <c r="G20" s="85"/>
      <c r="H20" s="86"/>
      <c r="I20" s="87"/>
      <c r="J20" s="138"/>
      <c r="K20" s="137"/>
      <c r="L20" s="134"/>
      <c r="M20" s="136"/>
      <c r="N20" s="135"/>
      <c r="O20" s="135"/>
      <c r="P20" s="134"/>
      <c r="Q20" s="133"/>
      <c r="R20" s="133"/>
      <c r="S20" s="132"/>
      <c r="T20" s="131"/>
      <c r="U20" s="130"/>
      <c r="V20" s="26"/>
      <c r="W20" s="26"/>
      <c r="X20" s="26"/>
      <c r="Y20" s="26"/>
      <c r="Z20" s="27"/>
      <c r="AA20" s="41"/>
      <c r="AB20" s="114"/>
    </row>
    <row r="21" spans="1:28" s="28" customFormat="1" ht="20.100000000000001" customHeight="1">
      <c r="A21" s="129"/>
      <c r="B21" s="139"/>
      <c r="C21" s="79"/>
      <c r="D21" s="85"/>
      <c r="E21" s="86"/>
      <c r="F21" s="87"/>
      <c r="G21" s="85"/>
      <c r="H21" s="86"/>
      <c r="I21" s="87"/>
      <c r="J21" s="138"/>
      <c r="K21" s="137"/>
      <c r="L21" s="134"/>
      <c r="M21" s="136"/>
      <c r="N21" s="135"/>
      <c r="O21" s="135"/>
      <c r="P21" s="134"/>
      <c r="Q21" s="133"/>
      <c r="R21" s="133"/>
      <c r="S21" s="132"/>
      <c r="T21" s="131"/>
      <c r="U21" s="130"/>
      <c r="V21" s="26"/>
      <c r="W21" s="26"/>
      <c r="X21" s="26"/>
      <c r="Y21" s="26"/>
      <c r="Z21" s="27"/>
      <c r="AA21" s="41"/>
      <c r="AB21" s="114"/>
    </row>
    <row r="22" spans="1:28" s="28" customFormat="1" ht="20.100000000000001" customHeight="1">
      <c r="A22" s="129"/>
      <c r="B22" s="139"/>
      <c r="C22" s="79"/>
      <c r="D22" s="85"/>
      <c r="E22" s="86"/>
      <c r="F22" s="87"/>
      <c r="G22" s="85"/>
      <c r="H22" s="86"/>
      <c r="I22" s="87"/>
      <c r="J22" s="138"/>
      <c r="K22" s="137"/>
      <c r="L22" s="134"/>
      <c r="M22" s="136"/>
      <c r="N22" s="135"/>
      <c r="O22" s="135"/>
      <c r="P22" s="134"/>
      <c r="Q22" s="133"/>
      <c r="R22" s="133"/>
      <c r="S22" s="132"/>
      <c r="T22" s="131"/>
      <c r="U22" s="130"/>
      <c r="V22" s="26"/>
      <c r="W22" s="26"/>
      <c r="X22" s="26"/>
      <c r="Y22" s="26"/>
      <c r="Z22" s="27"/>
      <c r="AA22" s="41"/>
      <c r="AB22" s="114"/>
    </row>
    <row r="23" spans="1:28" s="28" customFormat="1" ht="20.100000000000001" customHeight="1">
      <c r="A23" s="129"/>
      <c r="B23" s="139"/>
      <c r="C23" s="79"/>
      <c r="D23" s="85"/>
      <c r="E23" s="86"/>
      <c r="F23" s="87"/>
      <c r="G23" s="85"/>
      <c r="H23" s="86"/>
      <c r="I23" s="87"/>
      <c r="J23" s="138"/>
      <c r="K23" s="137"/>
      <c r="L23" s="134"/>
      <c r="M23" s="136"/>
      <c r="N23" s="135"/>
      <c r="O23" s="135"/>
      <c r="P23" s="134"/>
      <c r="Q23" s="133"/>
      <c r="R23" s="133"/>
      <c r="S23" s="132"/>
      <c r="T23" s="131"/>
      <c r="U23" s="130"/>
      <c r="V23" s="26"/>
      <c r="W23" s="26"/>
      <c r="X23" s="26"/>
      <c r="Y23" s="26"/>
      <c r="Z23" s="27"/>
      <c r="AA23" s="41"/>
      <c r="AB23" s="114"/>
    </row>
    <row r="24" spans="1:28" s="28" customFormat="1" ht="20.100000000000001" customHeight="1">
      <c r="A24" s="129"/>
      <c r="B24" s="139"/>
      <c r="C24" s="79"/>
      <c r="D24" s="85"/>
      <c r="E24" s="86"/>
      <c r="F24" s="87"/>
      <c r="G24" s="85"/>
      <c r="H24" s="86"/>
      <c r="I24" s="87"/>
      <c r="J24" s="138"/>
      <c r="K24" s="137"/>
      <c r="L24" s="134"/>
      <c r="M24" s="136"/>
      <c r="N24" s="135"/>
      <c r="O24" s="135"/>
      <c r="P24" s="134"/>
      <c r="Q24" s="133"/>
      <c r="R24" s="133"/>
      <c r="S24" s="132"/>
      <c r="T24" s="131"/>
      <c r="U24" s="130"/>
      <c r="V24" s="26"/>
      <c r="W24" s="26"/>
      <c r="X24" s="26"/>
      <c r="Y24" s="26"/>
      <c r="Z24" s="27"/>
      <c r="AA24" s="41"/>
      <c r="AB24" s="114"/>
    </row>
    <row r="25" spans="1:28" s="28" customFormat="1" ht="20.100000000000001" customHeight="1">
      <c r="A25" s="129"/>
      <c r="B25" s="139"/>
      <c r="C25" s="79"/>
      <c r="D25" s="85"/>
      <c r="E25" s="86"/>
      <c r="F25" s="87"/>
      <c r="G25" s="85"/>
      <c r="H25" s="86"/>
      <c r="I25" s="87"/>
      <c r="J25" s="138"/>
      <c r="K25" s="137"/>
      <c r="L25" s="134"/>
      <c r="M25" s="136"/>
      <c r="N25" s="135"/>
      <c r="O25" s="135"/>
      <c r="P25" s="134"/>
      <c r="Q25" s="133"/>
      <c r="R25" s="133"/>
      <c r="S25" s="154"/>
      <c r="T25" s="153"/>
      <c r="U25" s="130"/>
      <c r="V25" s="26"/>
      <c r="W25" s="26"/>
      <c r="X25" s="26"/>
      <c r="Y25" s="26"/>
      <c r="Z25" s="27"/>
      <c r="AA25" s="41"/>
      <c r="AB25" s="114"/>
    </row>
    <row r="26" spans="1:28" s="28" customFormat="1" ht="20.100000000000001" customHeight="1">
      <c r="A26" s="129"/>
      <c r="B26" s="139"/>
      <c r="C26" s="79"/>
      <c r="D26" s="85"/>
      <c r="E26" s="86"/>
      <c r="F26" s="87"/>
      <c r="G26" s="85"/>
      <c r="H26" s="86"/>
      <c r="I26" s="87"/>
      <c r="J26" s="138"/>
      <c r="K26" s="137"/>
      <c r="L26" s="134"/>
      <c r="M26" s="136"/>
      <c r="N26" s="135"/>
      <c r="O26" s="135"/>
      <c r="P26" s="134"/>
      <c r="Q26" s="133"/>
      <c r="R26" s="133"/>
      <c r="S26" s="132"/>
      <c r="T26" s="131"/>
      <c r="U26" s="130"/>
      <c r="V26" s="26"/>
      <c r="W26" s="26"/>
      <c r="X26" s="26"/>
      <c r="Y26" s="26"/>
      <c r="Z26" s="27"/>
      <c r="AA26" s="41"/>
      <c r="AB26" s="114"/>
    </row>
    <row r="27" spans="1:28" s="28" customFormat="1" ht="20.100000000000001" customHeight="1">
      <c r="A27" s="129"/>
      <c r="B27" s="139"/>
      <c r="C27" s="79"/>
      <c r="D27" s="85"/>
      <c r="E27" s="86"/>
      <c r="F27" s="87"/>
      <c r="G27" s="85"/>
      <c r="H27" s="86"/>
      <c r="I27" s="87"/>
      <c r="J27" s="138"/>
      <c r="K27" s="137"/>
      <c r="L27" s="134"/>
      <c r="M27" s="136"/>
      <c r="N27" s="135"/>
      <c r="O27" s="135"/>
      <c r="P27" s="134"/>
      <c r="Q27" s="133"/>
      <c r="R27" s="133"/>
      <c r="S27" s="132"/>
      <c r="T27" s="131"/>
      <c r="U27" s="130"/>
      <c r="V27" s="26"/>
      <c r="W27" s="26"/>
      <c r="X27" s="26"/>
      <c r="Y27" s="26"/>
      <c r="Z27" s="27"/>
      <c r="AA27" s="41"/>
      <c r="AB27" s="114"/>
    </row>
    <row r="28" spans="1:28" s="28" customFormat="1" ht="20.100000000000001" customHeight="1">
      <c r="A28" s="129"/>
      <c r="B28" s="139"/>
      <c r="C28" s="79"/>
      <c r="D28" s="85"/>
      <c r="E28" s="86"/>
      <c r="F28" s="87"/>
      <c r="G28" s="85"/>
      <c r="H28" s="86"/>
      <c r="I28" s="87"/>
      <c r="J28" s="138"/>
      <c r="K28" s="137"/>
      <c r="L28" s="134"/>
      <c r="M28" s="136"/>
      <c r="N28" s="135"/>
      <c r="O28" s="135"/>
      <c r="P28" s="134"/>
      <c r="Q28" s="133"/>
      <c r="R28" s="133"/>
      <c r="S28" s="132"/>
      <c r="T28" s="131"/>
      <c r="U28" s="130"/>
      <c r="V28" s="26"/>
      <c r="W28" s="26"/>
      <c r="X28" s="26"/>
      <c r="Y28" s="26"/>
      <c r="Z28" s="27"/>
      <c r="AA28" s="41"/>
      <c r="AB28" s="114"/>
    </row>
    <row r="29" spans="1:28" s="28" customFormat="1" ht="20.100000000000001" customHeight="1">
      <c r="A29" s="129"/>
      <c r="B29" s="139"/>
      <c r="C29" s="79"/>
      <c r="D29" s="85"/>
      <c r="E29" s="86"/>
      <c r="F29" s="87"/>
      <c r="G29" s="85"/>
      <c r="H29" s="86"/>
      <c r="I29" s="87"/>
      <c r="J29" s="138"/>
      <c r="K29" s="137"/>
      <c r="L29" s="134"/>
      <c r="M29" s="136"/>
      <c r="N29" s="135"/>
      <c r="O29" s="135"/>
      <c r="P29" s="134"/>
      <c r="Q29" s="133"/>
      <c r="R29" s="133"/>
      <c r="S29" s="132"/>
      <c r="T29" s="131"/>
      <c r="U29" s="130"/>
      <c r="V29" s="26"/>
      <c r="W29" s="26"/>
      <c r="X29" s="26"/>
      <c r="Y29" s="26"/>
      <c r="Z29" s="27"/>
      <c r="AA29" s="41"/>
      <c r="AB29" s="114"/>
    </row>
    <row r="30" spans="1:28" s="28" customFormat="1" ht="20.100000000000001" customHeight="1">
      <c r="A30" s="129"/>
      <c r="B30" s="139"/>
      <c r="C30" s="79"/>
      <c r="D30" s="85"/>
      <c r="E30" s="86"/>
      <c r="F30" s="87"/>
      <c r="G30" s="85"/>
      <c r="H30" s="86"/>
      <c r="I30" s="87"/>
      <c r="J30" s="138"/>
      <c r="K30" s="137"/>
      <c r="L30" s="134"/>
      <c r="M30" s="136"/>
      <c r="N30" s="135"/>
      <c r="O30" s="135"/>
      <c r="P30" s="134"/>
      <c r="Q30" s="133"/>
      <c r="R30" s="133"/>
      <c r="S30" s="132"/>
      <c r="T30" s="131"/>
      <c r="U30" s="130"/>
      <c r="V30" s="26"/>
      <c r="W30" s="26"/>
      <c r="X30" s="26"/>
      <c r="Y30" s="26"/>
      <c r="Z30" s="27"/>
      <c r="AA30" s="41"/>
      <c r="AB30" s="114"/>
    </row>
    <row r="31" spans="1:28" s="28" customFormat="1" ht="20.100000000000001" customHeight="1">
      <c r="A31" s="129"/>
      <c r="B31" s="139"/>
      <c r="C31" s="79"/>
      <c r="D31" s="85"/>
      <c r="E31" s="86"/>
      <c r="F31" s="87"/>
      <c r="G31" s="85"/>
      <c r="H31" s="86"/>
      <c r="I31" s="87"/>
      <c r="J31" s="138"/>
      <c r="K31" s="137"/>
      <c r="L31" s="134"/>
      <c r="M31" s="136"/>
      <c r="N31" s="135"/>
      <c r="O31" s="135"/>
      <c r="P31" s="134"/>
      <c r="Q31" s="133"/>
      <c r="R31" s="133"/>
      <c r="S31" s="132"/>
      <c r="T31" s="131"/>
      <c r="U31" s="130"/>
      <c r="V31" s="26"/>
      <c r="W31" s="26"/>
      <c r="X31" s="26"/>
      <c r="Y31" s="26"/>
      <c r="Z31" s="27"/>
      <c r="AA31" s="41"/>
      <c r="AB31" s="114"/>
    </row>
    <row r="32" spans="1:28" s="28" customFormat="1" ht="20.100000000000001" customHeight="1">
      <c r="A32" s="129"/>
      <c r="B32" s="139"/>
      <c r="C32" s="79"/>
      <c r="D32" s="85"/>
      <c r="E32" s="86"/>
      <c r="F32" s="87"/>
      <c r="G32" s="85"/>
      <c r="H32" s="86"/>
      <c r="I32" s="87"/>
      <c r="J32" s="138"/>
      <c r="K32" s="137"/>
      <c r="L32" s="134"/>
      <c r="M32" s="136"/>
      <c r="N32" s="135"/>
      <c r="O32" s="135"/>
      <c r="P32" s="134"/>
      <c r="Q32" s="133"/>
      <c r="R32" s="133"/>
      <c r="S32" s="132"/>
      <c r="T32" s="131"/>
      <c r="U32" s="130"/>
      <c r="V32" s="26"/>
      <c r="W32" s="26"/>
      <c r="X32" s="26"/>
      <c r="Y32" s="26"/>
      <c r="Z32" s="27"/>
      <c r="AA32" s="41"/>
      <c r="AB32" s="114"/>
    </row>
    <row r="33" spans="1:28" s="28" customFormat="1" ht="20.100000000000001" customHeight="1">
      <c r="A33" s="129"/>
      <c r="B33" s="139"/>
      <c r="C33" s="79"/>
      <c r="D33" s="85"/>
      <c r="E33" s="86"/>
      <c r="F33" s="87"/>
      <c r="G33" s="85"/>
      <c r="H33" s="86"/>
      <c r="I33" s="87"/>
      <c r="J33" s="138"/>
      <c r="K33" s="137"/>
      <c r="L33" s="134"/>
      <c r="M33" s="136"/>
      <c r="N33" s="135"/>
      <c r="O33" s="135"/>
      <c r="P33" s="134"/>
      <c r="Q33" s="133"/>
      <c r="R33" s="133"/>
      <c r="S33" s="132"/>
      <c r="T33" s="131"/>
      <c r="U33" s="130"/>
      <c r="V33" s="26"/>
      <c r="W33" s="26"/>
      <c r="X33" s="26"/>
      <c r="Y33" s="26"/>
      <c r="Z33" s="27"/>
      <c r="AA33" s="41"/>
      <c r="AB33" s="114"/>
    </row>
    <row r="34" spans="1:28" s="28" customFormat="1" ht="20.100000000000001" customHeight="1">
      <c r="A34" s="129"/>
      <c r="B34" s="139"/>
      <c r="C34" s="79"/>
      <c r="D34" s="85"/>
      <c r="E34" s="86"/>
      <c r="F34" s="87"/>
      <c r="G34" s="85"/>
      <c r="H34" s="86"/>
      <c r="I34" s="87"/>
      <c r="J34" s="138"/>
      <c r="K34" s="137"/>
      <c r="L34" s="134"/>
      <c r="M34" s="136"/>
      <c r="N34" s="135"/>
      <c r="O34" s="135"/>
      <c r="P34" s="134"/>
      <c r="Q34" s="133"/>
      <c r="R34" s="133"/>
      <c r="S34" s="132"/>
      <c r="T34" s="131"/>
      <c r="U34" s="130"/>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133"/>
      <c r="R35" s="133"/>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133"/>
      <c r="R36" s="133"/>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133"/>
      <c r="R37" s="133"/>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28" customFormat="1" ht="20.100000000000001" customHeight="1">
      <c r="A48" s="129"/>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114"/>
    </row>
    <row r="49" spans="1:28" s="9" customFormat="1" ht="20.100000000000001" customHeight="1">
      <c r="A49" s="14"/>
      <c r="B49" s="128"/>
      <c r="C49" s="127"/>
      <c r="D49" s="126"/>
      <c r="E49" s="125"/>
      <c r="F49" s="124"/>
      <c r="G49" s="126"/>
      <c r="H49" s="125"/>
      <c r="I49" s="124"/>
      <c r="J49" s="123"/>
      <c r="K49" s="122"/>
      <c r="L49" s="119"/>
      <c r="M49" s="121"/>
      <c r="N49" s="120"/>
      <c r="O49" s="120"/>
      <c r="P49" s="119"/>
      <c r="Q49" s="118"/>
      <c r="R49" s="118"/>
      <c r="S49" s="117"/>
      <c r="T49" s="116"/>
      <c r="U49" s="115"/>
      <c r="V49" s="26"/>
      <c r="W49" s="26"/>
      <c r="X49" s="26"/>
      <c r="Y49" s="26"/>
      <c r="Z49" s="27"/>
      <c r="AA49" s="41"/>
      <c r="AB49" s="42"/>
    </row>
    <row r="50" spans="1:28" ht="20.100000000000001" customHeight="1">
      <c r="B50" s="109"/>
      <c r="C50" s="113"/>
      <c r="D50" s="2670" t="s">
        <v>18</v>
      </c>
      <c r="E50" s="2671"/>
      <c r="F50" s="2671"/>
      <c r="G50" s="2671"/>
      <c r="H50" s="2671"/>
      <c r="I50" s="2672"/>
      <c r="J50" s="2694" t="e">
        <f>VLOOKUP(A52,#REF!,6,FALSE)</f>
        <v>#REF!</v>
      </c>
      <c r="K50" s="2695"/>
      <c r="L50" s="112" t="s">
        <v>8</v>
      </c>
      <c r="M50" s="2696" t="s">
        <v>19</v>
      </c>
      <c r="N50" s="2697"/>
      <c r="O50" s="2697"/>
      <c r="P50" s="2697"/>
      <c r="Q50" s="2698"/>
      <c r="R50" s="111">
        <f>SUM(R14:R49)</f>
        <v>39.299999999999997</v>
      </c>
      <c r="S50" s="110" t="str">
        <f>L50</f>
        <v>m</v>
      </c>
      <c r="T50" s="106"/>
      <c r="U50" s="105"/>
    </row>
    <row r="51" spans="1:28" ht="20.100000000000001" customHeight="1">
      <c r="B51" s="109"/>
      <c r="C51" s="72"/>
      <c r="D51" s="2746" t="s">
        <v>20</v>
      </c>
      <c r="E51" s="2679"/>
      <c r="F51" s="2679"/>
      <c r="G51" s="2679"/>
      <c r="H51" s="2679"/>
      <c r="I51" s="2680"/>
      <c r="J51" s="2747" t="e">
        <f>R50/J50</f>
        <v>#REF!</v>
      </c>
      <c r="K51" s="2700"/>
      <c r="L51" s="2703"/>
      <c r="M51" s="2737" t="s">
        <v>21</v>
      </c>
      <c r="N51" s="2738"/>
      <c r="O51" s="2738"/>
      <c r="P51" s="2738"/>
      <c r="Q51" s="2739"/>
      <c r="R51" s="108">
        <v>0</v>
      </c>
      <c r="S51" s="107" t="str">
        <f>L50</f>
        <v>m</v>
      </c>
      <c r="T51" s="106"/>
      <c r="U51" s="105"/>
    </row>
    <row r="52" spans="1:28" ht="20.100000000000001" customHeight="1">
      <c r="A52" s="12" t="s">
        <v>92</v>
      </c>
      <c r="B52" s="213"/>
      <c r="C52" s="73"/>
      <c r="D52" s="2670"/>
      <c r="E52" s="2671"/>
      <c r="F52" s="2671"/>
      <c r="G52" s="2671"/>
      <c r="H52" s="2671"/>
      <c r="I52" s="2672"/>
      <c r="J52" s="2701"/>
      <c r="K52" s="2702"/>
      <c r="L52" s="2704"/>
      <c r="M52" s="2737" t="s">
        <v>22</v>
      </c>
      <c r="N52" s="2738"/>
      <c r="O52" s="2738"/>
      <c r="P52" s="2738"/>
      <c r="Q52" s="2739"/>
      <c r="R52" s="103"/>
      <c r="S52" s="102" t="str">
        <f>L50</f>
        <v>m</v>
      </c>
      <c r="T52" s="101"/>
      <c r="U52" s="100"/>
    </row>
  </sheetData>
  <mergeCells count="33">
    <mergeCell ref="B1:U5"/>
    <mergeCell ref="V5:AA5"/>
    <mergeCell ref="B6:I6"/>
    <mergeCell ref="T8:U8"/>
    <mergeCell ref="J6:U6"/>
    <mergeCell ref="T9:U9"/>
    <mergeCell ref="T10:U10"/>
    <mergeCell ref="C11:L11"/>
    <mergeCell ref="B12:B13"/>
    <mergeCell ref="C12:C13"/>
    <mergeCell ref="D12:I12"/>
    <mergeCell ref="J12:J13"/>
    <mergeCell ref="K12:K13"/>
    <mergeCell ref="L12:L13"/>
    <mergeCell ref="M12:M13"/>
    <mergeCell ref="P12:P13"/>
    <mergeCell ref="U12:U13"/>
    <mergeCell ref="D13:F13"/>
    <mergeCell ref="G13:I13"/>
    <mergeCell ref="R12:R13"/>
    <mergeCell ref="S12:S13"/>
    <mergeCell ref="T12:T13"/>
    <mergeCell ref="D51:I52"/>
    <mergeCell ref="J51:K52"/>
    <mergeCell ref="L51:L52"/>
    <mergeCell ref="M51:Q51"/>
    <mergeCell ref="M52:Q52"/>
    <mergeCell ref="D50:I50"/>
    <mergeCell ref="J50:K50"/>
    <mergeCell ref="M50:Q50"/>
    <mergeCell ref="N12:N13"/>
    <mergeCell ref="O12:O13"/>
    <mergeCell ref="Q12:Q13"/>
  </mergeCells>
  <conditionalFormatting sqref="J51:K52">
    <cfRule type="cellIs" dxfId="15" priority="1" operator="greaterThanOrEqual">
      <formula>1</formula>
    </cfRule>
    <cfRule type="cellIs" dxfId="14" priority="2" operator="greaterThan">
      <formula>100%</formula>
    </cfRule>
  </conditionalFormatting>
  <printOptions horizontalCentered="1"/>
  <pageMargins left="0.39370078740157483" right="0.39370078740157483" top="0.78740157480314965" bottom="0.78740157480314965" header="0" footer="0.19685039370078741"/>
  <pageSetup paperSize="9" scale="44" fitToHeight="0" orientation="landscape" r:id="rId1"/>
  <headerFooter>
    <oddFooter>&amp;L__________________________________________
Valdemar Júnior Moreira
Engº Residente - &amp;"-,Itálico"Consórcio EPV&amp;CPágina &amp;P de &amp;N&amp;R__________________________________________
Paulo Maurício Ferrari
Engº Fiscal - &amp;"-,Itálico"SR-U</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334F21"/>
    <pageSetUpPr fitToPage="1"/>
  </sheetPr>
  <dimension ref="A1:AJ52"/>
  <sheetViews>
    <sheetView showGridLines="0" view="pageBreakPreview" topLeftCell="A7" zoomScale="60" zoomScaleNormal="100" workbookViewId="0">
      <selection activeCell="U49" sqref="U49"/>
    </sheetView>
  </sheetViews>
  <sheetFormatPr defaultRowHeight="12.75"/>
  <cols>
    <col min="1" max="1" width="9.140625" style="12"/>
    <col min="2" max="2" width="14.2851562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8" width="15.7109375" style="8" customWidth="1"/>
    <col min="19" max="19" width="9" style="8" customWidth="1"/>
    <col min="20" max="20" width="15.7109375" style="8" customWidth="1"/>
    <col min="21" max="21" width="38.140625" style="8" bestFit="1" customWidth="1"/>
    <col min="22" max="27" width="9.140625" style="8"/>
    <col min="28" max="28" width="12.7109375" style="15" customWidth="1"/>
    <col min="29" max="16384" width="9.140625" style="8"/>
  </cols>
  <sheetData>
    <row r="1" spans="1:36" ht="18.75" customHeight="1">
      <c r="B1" s="2652" t="s">
        <v>115</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655" t="s">
        <v>9</v>
      </c>
      <c r="C6" s="2656"/>
      <c r="D6" s="2656"/>
      <c r="E6" s="2656"/>
      <c r="F6" s="2656"/>
      <c r="G6" s="2656"/>
      <c r="H6" s="2656"/>
      <c r="I6" s="2748"/>
      <c r="J6" s="2749" t="s">
        <v>10</v>
      </c>
      <c r="K6" s="2750"/>
      <c r="L6" s="2750"/>
      <c r="M6" s="2750"/>
      <c r="N6" s="2750"/>
      <c r="O6" s="2750"/>
      <c r="P6" s="2750"/>
      <c r="Q6" s="2750"/>
      <c r="R6" s="2750"/>
      <c r="S6" s="2750"/>
      <c r="T6" s="2750"/>
      <c r="U6" s="2751"/>
      <c r="V6" s="99"/>
      <c r="W6" s="99"/>
      <c r="X6" s="99"/>
      <c r="Y6" s="99"/>
      <c r="Z6" s="99"/>
      <c r="AA6" s="99"/>
      <c r="AB6" s="17"/>
    </row>
    <row r="7" spans="1:36" s="20" customFormat="1" ht="15.75">
      <c r="A7" s="19"/>
      <c r="B7" s="152" t="s">
        <v>96</v>
      </c>
      <c r="C7" s="149" t="e">
        <f>#REF!</f>
        <v>#REF!</v>
      </c>
      <c r="D7" s="145"/>
      <c r="E7" s="92"/>
      <c r="F7" s="92"/>
      <c r="G7" s="145"/>
      <c r="H7" s="92"/>
      <c r="I7" s="92"/>
      <c r="J7" s="214" t="s">
        <v>114</v>
      </c>
      <c r="K7" s="145"/>
      <c r="L7" s="94"/>
      <c r="M7" s="93"/>
      <c r="N7" s="93"/>
      <c r="O7" s="93"/>
      <c r="P7" s="93"/>
      <c r="Q7" s="93"/>
      <c r="R7" s="93"/>
      <c r="S7" s="94"/>
      <c r="T7" s="94"/>
      <c r="U7" s="95"/>
      <c r="AB7" s="21"/>
    </row>
    <row r="8" spans="1:36" s="20" customFormat="1" ht="15.75">
      <c r="A8" s="19"/>
      <c r="B8" s="148" t="s">
        <v>79</v>
      </c>
      <c r="C8" s="149" t="e">
        <f>#REF!</f>
        <v>#REF!</v>
      </c>
      <c r="D8" s="145"/>
      <c r="E8" s="92"/>
      <c r="F8" s="92"/>
      <c r="G8" s="145"/>
      <c r="H8" s="92"/>
      <c r="I8" s="92"/>
      <c r="J8" s="146" t="s">
        <v>276</v>
      </c>
      <c r="K8" s="145"/>
      <c r="L8" s="145"/>
      <c r="M8" s="145"/>
      <c r="N8" s="96"/>
      <c r="O8" s="96"/>
      <c r="P8" s="96"/>
      <c r="Q8" s="96"/>
      <c r="R8" s="96"/>
      <c r="S8" s="145"/>
      <c r="T8" s="2647"/>
      <c r="U8" s="2648"/>
      <c r="AB8" s="21"/>
    </row>
    <row r="9" spans="1:36" s="20" customFormat="1" ht="15.75">
      <c r="A9" s="19"/>
      <c r="B9" s="148" t="s">
        <v>11</v>
      </c>
      <c r="C9" s="206" t="e">
        <f>VLOOKUP(B9,[0]!_xlnm.Print_Area,2,FALSE)</f>
        <v>#REF!</v>
      </c>
      <c r="D9" s="145"/>
      <c r="E9" s="92"/>
      <c r="F9" s="92"/>
      <c r="G9" s="145"/>
      <c r="H9" s="92"/>
      <c r="I9" s="92"/>
      <c r="J9" s="146" t="s">
        <v>277</v>
      </c>
      <c r="K9" s="145"/>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206" t="e">
        <f>VLOOKUP(B10,[0]!_xlnm.Print_Area,2,FALSE)</f>
        <v>#REF!</v>
      </c>
      <c r="D10" s="145"/>
      <c r="E10" s="92"/>
      <c r="F10" s="92"/>
      <c r="G10" s="145"/>
      <c r="H10" s="92"/>
      <c r="I10" s="92"/>
      <c r="J10" s="146" t="s">
        <v>278</v>
      </c>
      <c r="K10" s="145"/>
      <c r="L10" s="92"/>
      <c r="M10" s="92"/>
      <c r="N10" s="92"/>
      <c r="O10" s="92"/>
      <c r="P10" s="202"/>
      <c r="Q10" s="202"/>
      <c r="R10" s="202"/>
      <c r="S10" s="202"/>
      <c r="T10" s="2660"/>
      <c r="U10" s="2661"/>
      <c r="AA10" s="22"/>
      <c r="AB10" s="22"/>
      <c r="AC10" s="22"/>
      <c r="AD10" s="22"/>
      <c r="AE10" s="22"/>
      <c r="AF10" s="22"/>
      <c r="AG10" s="22"/>
      <c r="AH10" s="22"/>
      <c r="AI10" s="22"/>
      <c r="AJ10" s="22"/>
    </row>
    <row r="11" spans="1:36" s="29" customFormat="1" ht="21" customHeight="1">
      <c r="A11" s="23"/>
      <c r="B11" s="143" t="str">
        <f>LEFT(A52,1)</f>
        <v>9</v>
      </c>
      <c r="C11" s="2662" t="s">
        <v>281</v>
      </c>
      <c r="D11" s="2663"/>
      <c r="E11" s="2663"/>
      <c r="F11" s="2663"/>
      <c r="G11" s="2663"/>
      <c r="H11" s="2663"/>
      <c r="I11" s="2663"/>
      <c r="J11" s="2663"/>
      <c r="K11" s="2663"/>
      <c r="L11" s="2663"/>
      <c r="M11" s="207"/>
      <c r="N11" s="207"/>
      <c r="O11" s="207"/>
      <c r="P11" s="207"/>
      <c r="Q11" s="207"/>
      <c r="R11" s="207"/>
      <c r="S11" s="207"/>
      <c r="T11" s="207"/>
      <c r="U11" s="208"/>
      <c r="V11" s="26"/>
      <c r="W11" s="26"/>
      <c r="X11" s="26"/>
      <c r="Y11" s="26"/>
      <c r="Z11" s="27"/>
      <c r="AA11" s="28"/>
      <c r="AB11" s="28"/>
      <c r="AC11" s="28"/>
      <c r="AD11" s="28"/>
      <c r="AE11" s="28"/>
      <c r="AF11" s="28"/>
      <c r="AG11" s="28"/>
      <c r="AH11" s="28"/>
      <c r="AI11" s="28"/>
      <c r="AJ11" s="28"/>
    </row>
    <row r="12" spans="1:36" s="29" customFormat="1" ht="24.95" customHeight="1">
      <c r="A12" s="23"/>
      <c r="B12" s="2664" t="e">
        <f>VLOOKUP(A52,#REF!,2,FALSE)</f>
        <v>#REF!</v>
      </c>
      <c r="C12" s="2665" t="e">
        <f>VLOOKUP(A52,#REF!,3,FALSE)</f>
        <v>#REF!</v>
      </c>
      <c r="D12" s="2666" t="s">
        <v>97</v>
      </c>
      <c r="E12" s="2666"/>
      <c r="F12" s="2666"/>
      <c r="G12" s="2666"/>
      <c r="H12" s="2666"/>
      <c r="I12" s="2666"/>
      <c r="J12" s="2668" t="s">
        <v>98</v>
      </c>
      <c r="K12" s="2668" t="s">
        <v>102</v>
      </c>
      <c r="L12" s="2668" t="s">
        <v>103</v>
      </c>
      <c r="M12" s="2668" t="s">
        <v>113</v>
      </c>
      <c r="N12" s="2668" t="s">
        <v>112</v>
      </c>
      <c r="O12" s="2668" t="s">
        <v>107</v>
      </c>
      <c r="P12" s="2668" t="s">
        <v>111</v>
      </c>
      <c r="Q12" s="2668" t="s">
        <v>16</v>
      </c>
      <c r="R12" s="2668" t="s">
        <v>2</v>
      </c>
      <c r="S12" s="2668" t="s">
        <v>99</v>
      </c>
      <c r="T12" s="2668" t="s">
        <v>17</v>
      </c>
      <c r="U12" s="2667" t="s">
        <v>110</v>
      </c>
      <c r="V12" s="26"/>
      <c r="W12" s="26"/>
      <c r="X12" s="26"/>
      <c r="Y12" s="26"/>
      <c r="Z12" s="27"/>
      <c r="AA12" s="28"/>
      <c r="AB12" s="28"/>
      <c r="AC12" s="28"/>
      <c r="AD12" s="28"/>
      <c r="AE12" s="28"/>
      <c r="AF12" s="28"/>
      <c r="AG12" s="28"/>
      <c r="AH12" s="28"/>
      <c r="AI12" s="28"/>
      <c r="AJ12" s="28"/>
    </row>
    <row r="13" spans="1:36" s="29" customFormat="1" ht="24.95" customHeight="1">
      <c r="A13" s="23"/>
      <c r="B13" s="2664"/>
      <c r="C13" s="2665"/>
      <c r="D13" s="2669" t="s">
        <v>14</v>
      </c>
      <c r="E13" s="2669"/>
      <c r="F13" s="2669"/>
      <c r="G13" s="2667" t="s">
        <v>15</v>
      </c>
      <c r="H13" s="2667"/>
      <c r="I13" s="2667"/>
      <c r="J13" s="2417"/>
      <c r="K13" s="2417"/>
      <c r="L13" s="2417"/>
      <c r="M13" s="2417"/>
      <c r="N13" s="2417"/>
      <c r="O13" s="2417"/>
      <c r="P13" s="2417"/>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39"/>
      <c r="C14" s="79" t="s">
        <v>207</v>
      </c>
      <c r="D14" s="156">
        <v>307</v>
      </c>
      <c r="E14" s="86" t="s">
        <v>68</v>
      </c>
      <c r="F14" s="155">
        <v>7</v>
      </c>
      <c r="G14" s="156">
        <v>308</v>
      </c>
      <c r="H14" s="86" t="s">
        <v>68</v>
      </c>
      <c r="I14" s="155">
        <v>0</v>
      </c>
      <c r="J14" s="138"/>
      <c r="K14" s="215"/>
      <c r="L14" s="134"/>
      <c r="M14" s="136">
        <v>0.1</v>
      </c>
      <c r="N14" s="135">
        <v>85.15</v>
      </c>
      <c r="O14" s="135"/>
      <c r="P14" s="134"/>
      <c r="Q14" s="133"/>
      <c r="R14" s="133">
        <f>M14*N14</f>
        <v>8.5150000000000006</v>
      </c>
      <c r="S14" s="132" t="s">
        <v>5</v>
      </c>
      <c r="T14" s="140" t="s">
        <v>93</v>
      </c>
      <c r="U14" s="212"/>
      <c r="V14" s="26"/>
      <c r="W14" s="26"/>
      <c r="X14" s="26"/>
      <c r="Y14" s="26"/>
      <c r="Z14" s="27"/>
    </row>
    <row r="15" spans="1:36" s="28" customFormat="1" ht="20.100000000000001" customHeight="1">
      <c r="A15" s="129"/>
      <c r="B15" s="139"/>
      <c r="C15" s="79"/>
      <c r="D15" s="85"/>
      <c r="E15" s="86"/>
      <c r="F15" s="87"/>
      <c r="G15" s="85"/>
      <c r="H15" s="86"/>
      <c r="I15" s="87"/>
      <c r="J15" s="138"/>
      <c r="K15" s="215"/>
      <c r="L15" s="134"/>
      <c r="M15" s="136"/>
      <c r="N15" s="135"/>
      <c r="O15" s="135"/>
      <c r="P15" s="134"/>
      <c r="Q15" s="133"/>
      <c r="R15" s="133"/>
      <c r="S15" s="132"/>
      <c r="T15" s="140"/>
      <c r="U15" s="212"/>
      <c r="V15" s="26"/>
      <c r="W15" s="26"/>
      <c r="X15" s="26"/>
      <c r="Y15" s="26"/>
      <c r="Z15" s="27"/>
      <c r="AA15" s="41"/>
      <c r="AB15" s="114"/>
    </row>
    <row r="16" spans="1:36" s="28" customFormat="1" ht="20.100000000000001" customHeight="1">
      <c r="A16" s="129"/>
      <c r="B16" s="139"/>
      <c r="C16" s="79"/>
      <c r="D16" s="85"/>
      <c r="E16" s="86"/>
      <c r="F16" s="87"/>
      <c r="G16" s="85"/>
      <c r="H16" s="86"/>
      <c r="I16" s="87"/>
      <c r="J16" s="138"/>
      <c r="K16" s="193"/>
      <c r="L16" s="134"/>
      <c r="M16" s="136"/>
      <c r="N16" s="135"/>
      <c r="O16" s="135"/>
      <c r="P16" s="134"/>
      <c r="Q16" s="133"/>
      <c r="R16" s="133"/>
      <c r="S16" s="132"/>
      <c r="T16" s="131"/>
      <c r="U16" s="130"/>
      <c r="V16" s="26"/>
      <c r="W16" s="26"/>
      <c r="X16" s="26"/>
      <c r="Y16" s="26"/>
      <c r="Z16" s="27"/>
      <c r="AA16" s="41"/>
      <c r="AB16" s="114"/>
    </row>
    <row r="17" spans="1:28" s="28" customFormat="1" ht="20.100000000000001" customHeight="1">
      <c r="A17" s="129"/>
      <c r="B17" s="139"/>
      <c r="C17" s="79"/>
      <c r="D17" s="85"/>
      <c r="E17" s="86"/>
      <c r="F17" s="87"/>
      <c r="G17" s="85"/>
      <c r="H17" s="86"/>
      <c r="I17" s="87"/>
      <c r="J17" s="138"/>
      <c r="K17" s="193"/>
      <c r="L17" s="134"/>
      <c r="M17" s="136"/>
      <c r="N17" s="135"/>
      <c r="O17" s="135"/>
      <c r="P17" s="134"/>
      <c r="Q17" s="133"/>
      <c r="R17" s="133"/>
      <c r="S17" s="132"/>
      <c r="T17" s="131"/>
      <c r="U17" s="130"/>
      <c r="V17" s="26"/>
      <c r="W17" s="26"/>
      <c r="X17" s="26"/>
      <c r="Y17" s="26"/>
      <c r="Z17" s="27"/>
      <c r="AA17" s="41"/>
      <c r="AB17" s="114"/>
    </row>
    <row r="18" spans="1:28" s="28" customFormat="1" ht="20.100000000000001" customHeight="1">
      <c r="A18" s="129"/>
      <c r="B18" s="139"/>
      <c r="C18" s="79"/>
      <c r="D18" s="85"/>
      <c r="E18" s="86"/>
      <c r="F18" s="87"/>
      <c r="G18" s="85"/>
      <c r="H18" s="86"/>
      <c r="I18" s="87"/>
      <c r="J18" s="138"/>
      <c r="K18" s="137"/>
      <c r="L18" s="134"/>
      <c r="M18" s="136"/>
      <c r="N18" s="135"/>
      <c r="O18" s="135"/>
      <c r="P18" s="134"/>
      <c r="Q18" s="133"/>
      <c r="R18" s="133"/>
      <c r="S18" s="132"/>
      <c r="T18" s="131"/>
      <c r="U18" s="130"/>
      <c r="V18" s="26"/>
      <c r="W18" s="26"/>
      <c r="X18" s="26"/>
      <c r="Y18" s="26"/>
      <c r="Z18" s="27"/>
      <c r="AA18" s="41"/>
      <c r="AB18" s="114"/>
    </row>
    <row r="19" spans="1:28" s="28" customFormat="1" ht="20.100000000000001" customHeight="1">
      <c r="A19" s="129"/>
      <c r="B19" s="139"/>
      <c r="C19" s="79"/>
      <c r="D19" s="85"/>
      <c r="E19" s="86"/>
      <c r="F19" s="87"/>
      <c r="G19" s="85"/>
      <c r="H19" s="86"/>
      <c r="I19" s="87"/>
      <c r="J19" s="138"/>
      <c r="K19" s="137"/>
      <c r="L19" s="134"/>
      <c r="M19" s="136"/>
      <c r="N19" s="135"/>
      <c r="O19" s="135"/>
      <c r="P19" s="134"/>
      <c r="Q19" s="133"/>
      <c r="R19" s="133"/>
      <c r="S19" s="132"/>
      <c r="T19" s="131"/>
      <c r="U19" s="130"/>
      <c r="V19" s="26"/>
      <c r="W19" s="26"/>
      <c r="X19" s="26"/>
      <c r="Y19" s="26"/>
      <c r="Z19" s="27"/>
      <c r="AA19" s="41"/>
      <c r="AB19" s="114"/>
    </row>
    <row r="20" spans="1:28" s="28" customFormat="1" ht="20.100000000000001" customHeight="1">
      <c r="A20" s="129"/>
      <c r="B20" s="139"/>
      <c r="C20" s="79"/>
      <c r="D20" s="85"/>
      <c r="E20" s="86"/>
      <c r="F20" s="87"/>
      <c r="G20" s="85"/>
      <c r="H20" s="86"/>
      <c r="I20" s="87"/>
      <c r="J20" s="138"/>
      <c r="K20" s="137"/>
      <c r="L20" s="134"/>
      <c r="M20" s="136"/>
      <c r="N20" s="135"/>
      <c r="O20" s="135"/>
      <c r="P20" s="134"/>
      <c r="Q20" s="133"/>
      <c r="R20" s="133"/>
      <c r="S20" s="132"/>
      <c r="T20" s="131"/>
      <c r="U20" s="130"/>
      <c r="V20" s="26"/>
      <c r="W20" s="26"/>
      <c r="X20" s="26"/>
      <c r="Y20" s="26"/>
      <c r="Z20" s="27"/>
      <c r="AA20" s="41"/>
      <c r="AB20" s="114"/>
    </row>
    <row r="21" spans="1:28" s="28" customFormat="1" ht="20.100000000000001" customHeight="1">
      <c r="A21" s="129"/>
      <c r="B21" s="139"/>
      <c r="C21" s="79"/>
      <c r="D21" s="85"/>
      <c r="E21" s="86"/>
      <c r="F21" s="87"/>
      <c r="G21" s="85"/>
      <c r="H21" s="86"/>
      <c r="I21" s="87"/>
      <c r="J21" s="138"/>
      <c r="K21" s="137"/>
      <c r="L21" s="134"/>
      <c r="M21" s="136"/>
      <c r="N21" s="135"/>
      <c r="O21" s="135"/>
      <c r="P21" s="134"/>
      <c r="Q21" s="133"/>
      <c r="R21" s="133"/>
      <c r="S21" s="132"/>
      <c r="T21" s="131"/>
      <c r="U21" s="130"/>
      <c r="V21" s="26"/>
      <c r="W21" s="26"/>
      <c r="X21" s="26"/>
      <c r="Y21" s="26"/>
      <c r="Z21" s="27"/>
      <c r="AA21" s="41"/>
      <c r="AB21" s="114"/>
    </row>
    <row r="22" spans="1:28" s="28" customFormat="1" ht="20.100000000000001" customHeight="1">
      <c r="A22" s="129"/>
      <c r="B22" s="139"/>
      <c r="C22" s="79"/>
      <c r="D22" s="85"/>
      <c r="E22" s="86"/>
      <c r="F22" s="87"/>
      <c r="G22" s="85"/>
      <c r="H22" s="86"/>
      <c r="I22" s="87"/>
      <c r="J22" s="138"/>
      <c r="K22" s="137"/>
      <c r="L22" s="134"/>
      <c r="M22" s="136"/>
      <c r="N22" s="135"/>
      <c r="O22" s="135"/>
      <c r="P22" s="134"/>
      <c r="Q22" s="133"/>
      <c r="R22" s="133"/>
      <c r="S22" s="132"/>
      <c r="T22" s="131"/>
      <c r="U22" s="130"/>
      <c r="V22" s="26"/>
      <c r="W22" s="26"/>
      <c r="X22" s="26"/>
      <c r="Y22" s="26"/>
      <c r="Z22" s="27"/>
      <c r="AA22" s="41"/>
      <c r="AB22" s="114"/>
    </row>
    <row r="23" spans="1:28" s="28" customFormat="1" ht="20.100000000000001" customHeight="1">
      <c r="A23" s="129"/>
      <c r="B23" s="139"/>
      <c r="C23" s="79"/>
      <c r="D23" s="85"/>
      <c r="E23" s="86"/>
      <c r="F23" s="87"/>
      <c r="G23" s="85"/>
      <c r="H23" s="86"/>
      <c r="I23" s="87"/>
      <c r="J23" s="138"/>
      <c r="K23" s="137"/>
      <c r="L23" s="134"/>
      <c r="M23" s="136"/>
      <c r="N23" s="135"/>
      <c r="O23" s="135"/>
      <c r="P23" s="134"/>
      <c r="Q23" s="133"/>
      <c r="R23" s="133"/>
      <c r="S23" s="132"/>
      <c r="T23" s="131"/>
      <c r="U23" s="130"/>
      <c r="V23" s="26"/>
      <c r="W23" s="26"/>
      <c r="X23" s="26"/>
      <c r="Y23" s="26"/>
      <c r="Z23" s="27"/>
      <c r="AA23" s="41"/>
      <c r="AB23" s="114"/>
    </row>
    <row r="24" spans="1:28" s="28" customFormat="1" ht="20.100000000000001" customHeight="1">
      <c r="A24" s="129"/>
      <c r="B24" s="139"/>
      <c r="C24" s="79"/>
      <c r="D24" s="85"/>
      <c r="E24" s="86"/>
      <c r="F24" s="87"/>
      <c r="G24" s="85"/>
      <c r="H24" s="86"/>
      <c r="I24" s="87"/>
      <c r="J24" s="138"/>
      <c r="K24" s="137"/>
      <c r="L24" s="134"/>
      <c r="M24" s="136"/>
      <c r="N24" s="135"/>
      <c r="O24" s="135"/>
      <c r="P24" s="134"/>
      <c r="Q24" s="133"/>
      <c r="R24" s="133"/>
      <c r="S24" s="132"/>
      <c r="T24" s="131"/>
      <c r="U24" s="130"/>
      <c r="V24" s="26"/>
      <c r="W24" s="26"/>
      <c r="X24" s="26"/>
      <c r="Y24" s="26"/>
      <c r="Z24" s="27"/>
      <c r="AA24" s="41"/>
      <c r="AB24" s="114"/>
    </row>
    <row r="25" spans="1:28" s="28" customFormat="1" ht="20.100000000000001" customHeight="1">
      <c r="A25" s="129"/>
      <c r="B25" s="139"/>
      <c r="C25" s="79"/>
      <c r="D25" s="85"/>
      <c r="E25" s="86"/>
      <c r="F25" s="87"/>
      <c r="G25" s="85"/>
      <c r="H25" s="86"/>
      <c r="I25" s="87"/>
      <c r="J25" s="138"/>
      <c r="K25" s="137"/>
      <c r="L25" s="134"/>
      <c r="M25" s="136"/>
      <c r="N25" s="135"/>
      <c r="O25" s="135"/>
      <c r="P25" s="134"/>
      <c r="Q25" s="133"/>
      <c r="R25" s="133"/>
      <c r="S25" s="154"/>
      <c r="T25" s="153"/>
      <c r="U25" s="130"/>
      <c r="V25" s="26"/>
      <c r="W25" s="26"/>
      <c r="X25" s="26"/>
      <c r="Y25" s="26"/>
      <c r="Z25" s="27"/>
      <c r="AA25" s="41"/>
      <c r="AB25" s="114"/>
    </row>
    <row r="26" spans="1:28" s="28" customFormat="1" ht="20.100000000000001" customHeight="1">
      <c r="A26" s="129"/>
      <c r="B26" s="139"/>
      <c r="C26" s="79"/>
      <c r="D26" s="85"/>
      <c r="E26" s="86"/>
      <c r="F26" s="87"/>
      <c r="G26" s="85"/>
      <c r="H26" s="86"/>
      <c r="I26" s="87"/>
      <c r="J26" s="138"/>
      <c r="K26" s="137"/>
      <c r="L26" s="134"/>
      <c r="M26" s="136"/>
      <c r="N26" s="135"/>
      <c r="O26" s="135"/>
      <c r="P26" s="134"/>
      <c r="Q26" s="133"/>
      <c r="R26" s="133"/>
      <c r="S26" s="132"/>
      <c r="T26" s="131"/>
      <c r="U26" s="130"/>
      <c r="V26" s="26"/>
      <c r="W26" s="26"/>
      <c r="X26" s="26"/>
      <c r="Y26" s="26"/>
      <c r="Z26" s="27"/>
      <c r="AA26" s="41"/>
      <c r="AB26" s="114"/>
    </row>
    <row r="27" spans="1:28" s="28" customFormat="1" ht="20.100000000000001" customHeight="1">
      <c r="A27" s="129"/>
      <c r="B27" s="139"/>
      <c r="C27" s="79"/>
      <c r="D27" s="85"/>
      <c r="E27" s="86"/>
      <c r="F27" s="87"/>
      <c r="G27" s="85"/>
      <c r="H27" s="86"/>
      <c r="I27" s="87"/>
      <c r="J27" s="138"/>
      <c r="K27" s="137"/>
      <c r="L27" s="134"/>
      <c r="M27" s="136"/>
      <c r="N27" s="135"/>
      <c r="O27" s="135"/>
      <c r="P27" s="134"/>
      <c r="Q27" s="133"/>
      <c r="R27" s="133"/>
      <c r="S27" s="132"/>
      <c r="T27" s="131"/>
      <c r="U27" s="130"/>
      <c r="V27" s="26"/>
      <c r="W27" s="26"/>
      <c r="X27" s="26"/>
      <c r="Y27" s="26"/>
      <c r="Z27" s="27"/>
      <c r="AA27" s="41"/>
      <c r="AB27" s="114"/>
    </row>
    <row r="28" spans="1:28" s="28" customFormat="1" ht="20.100000000000001" customHeight="1">
      <c r="A28" s="129"/>
      <c r="B28" s="139"/>
      <c r="C28" s="79"/>
      <c r="D28" s="85"/>
      <c r="E28" s="86"/>
      <c r="F28" s="87"/>
      <c r="G28" s="85"/>
      <c r="H28" s="86"/>
      <c r="I28" s="87"/>
      <c r="J28" s="138"/>
      <c r="K28" s="137"/>
      <c r="L28" s="134"/>
      <c r="M28" s="136"/>
      <c r="N28" s="135"/>
      <c r="O28" s="135"/>
      <c r="P28" s="134"/>
      <c r="Q28" s="133"/>
      <c r="R28" s="133"/>
      <c r="S28" s="132"/>
      <c r="T28" s="131"/>
      <c r="U28" s="130"/>
      <c r="V28" s="26"/>
      <c r="W28" s="26"/>
      <c r="X28" s="26"/>
      <c r="Y28" s="26"/>
      <c r="Z28" s="27"/>
      <c r="AA28" s="41"/>
      <c r="AB28" s="114"/>
    </row>
    <row r="29" spans="1:28" s="28" customFormat="1" ht="20.100000000000001" customHeight="1">
      <c r="A29" s="129"/>
      <c r="B29" s="139"/>
      <c r="C29" s="79"/>
      <c r="D29" s="85"/>
      <c r="E29" s="86"/>
      <c r="F29" s="87"/>
      <c r="G29" s="85"/>
      <c r="H29" s="86"/>
      <c r="I29" s="87"/>
      <c r="J29" s="138"/>
      <c r="K29" s="137"/>
      <c r="L29" s="134"/>
      <c r="M29" s="136"/>
      <c r="N29" s="135"/>
      <c r="O29" s="135"/>
      <c r="P29" s="134"/>
      <c r="Q29" s="133"/>
      <c r="R29" s="133"/>
      <c r="S29" s="132"/>
      <c r="T29" s="131"/>
      <c r="U29" s="130"/>
      <c r="V29" s="26"/>
      <c r="W29" s="26"/>
      <c r="X29" s="26"/>
      <c r="Y29" s="26"/>
      <c r="Z29" s="27"/>
      <c r="AA29" s="41"/>
      <c r="AB29" s="114"/>
    </row>
    <row r="30" spans="1:28" s="28" customFormat="1" ht="20.100000000000001" customHeight="1">
      <c r="A30" s="129"/>
      <c r="B30" s="139"/>
      <c r="C30" s="79"/>
      <c r="D30" s="85"/>
      <c r="E30" s="86"/>
      <c r="F30" s="87"/>
      <c r="G30" s="85"/>
      <c r="H30" s="86"/>
      <c r="I30" s="87"/>
      <c r="J30" s="138"/>
      <c r="K30" s="137"/>
      <c r="L30" s="134"/>
      <c r="M30" s="136"/>
      <c r="N30" s="135"/>
      <c r="O30" s="135"/>
      <c r="P30" s="134"/>
      <c r="Q30" s="133"/>
      <c r="R30" s="133"/>
      <c r="S30" s="132"/>
      <c r="T30" s="131"/>
      <c r="U30" s="130"/>
      <c r="V30" s="26"/>
      <c r="W30" s="26"/>
      <c r="X30" s="26"/>
      <c r="Y30" s="26"/>
      <c r="Z30" s="27"/>
      <c r="AA30" s="41"/>
      <c r="AB30" s="114"/>
    </row>
    <row r="31" spans="1:28" s="28" customFormat="1" ht="20.100000000000001" customHeight="1">
      <c r="A31" s="129"/>
      <c r="B31" s="139"/>
      <c r="C31" s="79"/>
      <c r="D31" s="85"/>
      <c r="E31" s="86"/>
      <c r="F31" s="87"/>
      <c r="G31" s="85"/>
      <c r="H31" s="86"/>
      <c r="I31" s="87"/>
      <c r="J31" s="138"/>
      <c r="K31" s="137"/>
      <c r="L31" s="134"/>
      <c r="M31" s="136"/>
      <c r="N31" s="135"/>
      <c r="O31" s="135"/>
      <c r="P31" s="134"/>
      <c r="Q31" s="133"/>
      <c r="R31" s="133"/>
      <c r="S31" s="132"/>
      <c r="T31" s="131"/>
      <c r="U31" s="130"/>
      <c r="V31" s="26"/>
      <c r="W31" s="26"/>
      <c r="X31" s="26"/>
      <c r="Y31" s="26"/>
      <c r="Z31" s="27"/>
      <c r="AA31" s="41"/>
      <c r="AB31" s="114"/>
    </row>
    <row r="32" spans="1:28" s="28" customFormat="1" ht="20.100000000000001" customHeight="1">
      <c r="A32" s="129"/>
      <c r="B32" s="139"/>
      <c r="C32" s="79"/>
      <c r="D32" s="85"/>
      <c r="E32" s="86"/>
      <c r="F32" s="87"/>
      <c r="G32" s="85"/>
      <c r="H32" s="86"/>
      <c r="I32" s="87"/>
      <c r="J32" s="138"/>
      <c r="K32" s="137"/>
      <c r="L32" s="134"/>
      <c r="M32" s="136"/>
      <c r="N32" s="135"/>
      <c r="O32" s="135"/>
      <c r="P32" s="134"/>
      <c r="Q32" s="133"/>
      <c r="R32" s="133"/>
      <c r="S32" s="132"/>
      <c r="T32" s="131"/>
      <c r="U32" s="130"/>
      <c r="V32" s="26"/>
      <c r="W32" s="26"/>
      <c r="X32" s="26"/>
      <c r="Y32" s="26"/>
      <c r="Z32" s="27"/>
      <c r="AA32" s="41"/>
      <c r="AB32" s="114"/>
    </row>
    <row r="33" spans="1:28" s="28" customFormat="1" ht="20.100000000000001" customHeight="1">
      <c r="A33" s="129"/>
      <c r="B33" s="139"/>
      <c r="C33" s="79"/>
      <c r="D33" s="85"/>
      <c r="E33" s="86"/>
      <c r="F33" s="87"/>
      <c r="G33" s="85"/>
      <c r="H33" s="86"/>
      <c r="I33" s="87"/>
      <c r="J33" s="138"/>
      <c r="K33" s="137"/>
      <c r="L33" s="134"/>
      <c r="M33" s="136"/>
      <c r="N33" s="135"/>
      <c r="O33" s="135"/>
      <c r="P33" s="134"/>
      <c r="Q33" s="133"/>
      <c r="R33" s="133"/>
      <c r="S33" s="132"/>
      <c r="T33" s="131"/>
      <c r="U33" s="130"/>
      <c r="V33" s="26"/>
      <c r="W33" s="26"/>
      <c r="X33" s="26"/>
      <c r="Y33" s="26"/>
      <c r="Z33" s="27"/>
      <c r="AA33" s="41"/>
      <c r="AB33" s="114"/>
    </row>
    <row r="34" spans="1:28" s="28" customFormat="1" ht="20.100000000000001" customHeight="1">
      <c r="A34" s="129"/>
      <c r="B34" s="139"/>
      <c r="C34" s="79"/>
      <c r="D34" s="85"/>
      <c r="E34" s="86"/>
      <c r="F34" s="87"/>
      <c r="G34" s="85"/>
      <c r="H34" s="86"/>
      <c r="I34" s="87"/>
      <c r="J34" s="138"/>
      <c r="K34" s="137"/>
      <c r="L34" s="134"/>
      <c r="M34" s="136"/>
      <c r="N34" s="135"/>
      <c r="O34" s="135"/>
      <c r="P34" s="134"/>
      <c r="Q34" s="133"/>
      <c r="R34" s="133"/>
      <c r="S34" s="132"/>
      <c r="T34" s="131"/>
      <c r="U34" s="130"/>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133"/>
      <c r="R35" s="133"/>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133"/>
      <c r="R36" s="133"/>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133"/>
      <c r="R37" s="133"/>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28" customFormat="1" ht="20.100000000000001" customHeight="1">
      <c r="A48" s="129"/>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114"/>
    </row>
    <row r="49" spans="1:28" s="28" customFormat="1" ht="20.100000000000001" customHeight="1">
      <c r="A49" s="129"/>
      <c r="B49" s="128"/>
      <c r="C49" s="127"/>
      <c r="D49" s="126"/>
      <c r="E49" s="125"/>
      <c r="F49" s="124"/>
      <c r="G49" s="126"/>
      <c r="H49" s="125"/>
      <c r="I49" s="124"/>
      <c r="J49" s="123"/>
      <c r="K49" s="122"/>
      <c r="L49" s="119"/>
      <c r="M49" s="121"/>
      <c r="N49" s="120"/>
      <c r="O49" s="120"/>
      <c r="P49" s="119"/>
      <c r="Q49" s="118"/>
      <c r="R49" s="118"/>
      <c r="S49" s="117"/>
      <c r="T49" s="116"/>
      <c r="U49" s="115"/>
      <c r="V49" s="26"/>
      <c r="W49" s="26"/>
      <c r="X49" s="26"/>
      <c r="Y49" s="26"/>
      <c r="Z49" s="27"/>
      <c r="AA49" s="41"/>
      <c r="AB49" s="114"/>
    </row>
    <row r="50" spans="1:28" ht="20.100000000000001" customHeight="1">
      <c r="B50" s="109"/>
      <c r="C50" s="113"/>
      <c r="D50" s="2670" t="s">
        <v>18</v>
      </c>
      <c r="E50" s="2671"/>
      <c r="F50" s="2671"/>
      <c r="G50" s="2671"/>
      <c r="H50" s="2671"/>
      <c r="I50" s="2672"/>
      <c r="J50" s="2694">
        <v>1.4</v>
      </c>
      <c r="K50" s="2695"/>
      <c r="L50" s="112" t="s">
        <v>5</v>
      </c>
      <c r="M50" s="2696" t="s">
        <v>19</v>
      </c>
      <c r="N50" s="2697"/>
      <c r="O50" s="2697"/>
      <c r="P50" s="2697"/>
      <c r="Q50" s="2698"/>
      <c r="R50" s="111">
        <f>SUM(R14:R49)</f>
        <v>8.5150000000000006</v>
      </c>
      <c r="S50" s="110" t="str">
        <f>L50</f>
        <v>m³</v>
      </c>
      <c r="T50" s="106"/>
      <c r="U50" s="105"/>
    </row>
    <row r="51" spans="1:28" ht="20.100000000000001" customHeight="1">
      <c r="B51" s="109"/>
      <c r="C51" s="72"/>
      <c r="D51" s="2746" t="s">
        <v>20</v>
      </c>
      <c r="E51" s="2679"/>
      <c r="F51" s="2679"/>
      <c r="G51" s="2679"/>
      <c r="H51" s="2679"/>
      <c r="I51" s="2680"/>
      <c r="J51" s="2747">
        <f>R50/J50</f>
        <v>6.0821428571428582</v>
      </c>
      <c r="K51" s="2700"/>
      <c r="L51" s="2703"/>
      <c r="M51" s="2737" t="s">
        <v>21</v>
      </c>
      <c r="N51" s="2738"/>
      <c r="O51" s="2738"/>
      <c r="P51" s="2738"/>
      <c r="Q51" s="2739"/>
      <c r="R51" s="108">
        <v>0</v>
      </c>
      <c r="S51" s="107" t="str">
        <f>L50</f>
        <v>m³</v>
      </c>
      <c r="T51" s="106"/>
      <c r="U51" s="105"/>
    </row>
    <row r="52" spans="1:28" ht="20.100000000000001" customHeight="1">
      <c r="A52" s="12" t="s">
        <v>183</v>
      </c>
      <c r="B52" s="213"/>
      <c r="C52" s="73"/>
      <c r="D52" s="2670"/>
      <c r="E52" s="2671"/>
      <c r="F52" s="2671"/>
      <c r="G52" s="2671"/>
      <c r="H52" s="2671"/>
      <c r="I52" s="2672"/>
      <c r="J52" s="2701"/>
      <c r="K52" s="2702"/>
      <c r="L52" s="2704"/>
      <c r="M52" s="2737" t="s">
        <v>22</v>
      </c>
      <c r="N52" s="2738"/>
      <c r="O52" s="2738"/>
      <c r="P52" s="2738"/>
      <c r="Q52" s="2739"/>
      <c r="R52" s="103">
        <v>0</v>
      </c>
      <c r="S52" s="102" t="str">
        <f>L50</f>
        <v>m³</v>
      </c>
      <c r="T52" s="101"/>
      <c r="U52" s="100"/>
    </row>
  </sheetData>
  <mergeCells count="33">
    <mergeCell ref="M12:M13"/>
    <mergeCell ref="P12:P13"/>
    <mergeCell ref="T10:U10"/>
    <mergeCell ref="G13:I13"/>
    <mergeCell ref="B1:U5"/>
    <mergeCell ref="V5:AA5"/>
    <mergeCell ref="B6:I6"/>
    <mergeCell ref="T8:U8"/>
    <mergeCell ref="B12:B13"/>
    <mergeCell ref="C12:C13"/>
    <mergeCell ref="D12:I12"/>
    <mergeCell ref="J12:J13"/>
    <mergeCell ref="K12:K13"/>
    <mergeCell ref="J6:U6"/>
    <mergeCell ref="U12:U13"/>
    <mergeCell ref="R12:R13"/>
    <mergeCell ref="S12:S13"/>
    <mergeCell ref="D13:F13"/>
    <mergeCell ref="T9:U9"/>
    <mergeCell ref="C11:L11"/>
    <mergeCell ref="T12:T13"/>
    <mergeCell ref="D51:I52"/>
    <mergeCell ref="J51:K52"/>
    <mergeCell ref="L51:L52"/>
    <mergeCell ref="M51:Q51"/>
    <mergeCell ref="M52:Q52"/>
    <mergeCell ref="D50:I50"/>
    <mergeCell ref="J50:K50"/>
    <mergeCell ref="M50:Q50"/>
    <mergeCell ref="N12:N13"/>
    <mergeCell ref="O12:O13"/>
    <mergeCell ref="Q12:Q13"/>
    <mergeCell ref="L12:L13"/>
  </mergeCells>
  <conditionalFormatting sqref="J51:K52">
    <cfRule type="cellIs" dxfId="13" priority="1" operator="greaterThanOrEqual">
      <formula>1</formula>
    </cfRule>
    <cfRule type="cellIs" dxfId="12" priority="2" operator="greaterThan">
      <formula>100%</formula>
    </cfRule>
  </conditionalFormatting>
  <printOptions horizontalCentered="1"/>
  <pageMargins left="0.39370078740157483" right="0.39370078740157483" top="0.78740157480314965" bottom="0.78740157480314965" header="0" footer="0.19685039370078741"/>
  <pageSetup paperSize="9" scale="44" fitToHeight="0" orientation="landscape" r:id="rId1"/>
  <headerFooter>
    <oddFooter>&amp;L__________________________________________
Valdemar Júnior Moreira
Engº Residente - &amp;"-,Itálico"Consórcio EPV&amp;CPágina &amp;P de &amp;N&amp;R__________________________________________
Paulo Maurício Ferrari
Engº Fiscal - &amp;"-,Itálico"SR-U</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334F21"/>
    <pageSetUpPr fitToPage="1"/>
  </sheetPr>
  <dimension ref="A1:AJ52"/>
  <sheetViews>
    <sheetView showGridLines="0" view="pageBreakPreview" topLeftCell="A7" zoomScale="60" zoomScaleNormal="100" workbookViewId="0">
      <selection activeCell="R53" sqref="R53"/>
    </sheetView>
  </sheetViews>
  <sheetFormatPr defaultRowHeight="12.75"/>
  <cols>
    <col min="1" max="1" width="9.140625" style="12"/>
    <col min="2" max="2" width="17.2851562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5" width="13.5703125" style="8" customWidth="1"/>
    <col min="16" max="16" width="14.5703125" style="8" customWidth="1"/>
    <col min="17" max="18" width="13.5703125" style="8" customWidth="1"/>
    <col min="19" max="19" width="9" style="8" customWidth="1"/>
    <col min="20" max="20" width="12.5703125" style="8" customWidth="1"/>
    <col min="21" max="21" width="38.140625" style="8" bestFit="1" customWidth="1"/>
    <col min="22" max="27" width="9.140625" style="8"/>
    <col min="28" max="28" width="12.7109375" style="15" customWidth="1"/>
    <col min="29" max="16384" width="9.140625" style="8"/>
  </cols>
  <sheetData>
    <row r="1" spans="1:36" ht="18.75" customHeight="1">
      <c r="B1" s="2652" t="s">
        <v>115</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655" t="s">
        <v>9</v>
      </c>
      <c r="C6" s="2656"/>
      <c r="D6" s="2656"/>
      <c r="E6" s="2656"/>
      <c r="F6" s="2656"/>
      <c r="G6" s="2656"/>
      <c r="H6" s="2656"/>
      <c r="I6" s="2748"/>
      <c r="J6" s="2749" t="s">
        <v>10</v>
      </c>
      <c r="K6" s="2750"/>
      <c r="L6" s="2750"/>
      <c r="M6" s="2750"/>
      <c r="N6" s="2750"/>
      <c r="O6" s="2750"/>
      <c r="P6" s="2656"/>
      <c r="Q6" s="2656"/>
      <c r="R6" s="2656"/>
      <c r="S6" s="2656"/>
      <c r="T6" s="2656"/>
      <c r="U6" s="2748"/>
      <c r="V6" s="99"/>
      <c r="W6" s="99"/>
      <c r="X6" s="99"/>
      <c r="Y6" s="99"/>
      <c r="Z6" s="99"/>
      <c r="AA6" s="99"/>
      <c r="AB6" s="17"/>
    </row>
    <row r="7" spans="1:36" s="20" customFormat="1" ht="15.75">
      <c r="A7" s="19"/>
      <c r="B7" s="152" t="s">
        <v>96</v>
      </c>
      <c r="C7" s="149" t="e">
        <f>#REF!</f>
        <v>#REF!</v>
      </c>
      <c r="D7" s="145"/>
      <c r="E7" s="92"/>
      <c r="F7" s="92"/>
      <c r="G7" s="145"/>
      <c r="H7" s="92"/>
      <c r="I7" s="92"/>
      <c r="J7" s="214" t="s">
        <v>114</v>
      </c>
      <c r="K7" s="145"/>
      <c r="L7" s="94"/>
      <c r="M7" s="93"/>
      <c r="N7" s="93"/>
      <c r="O7" s="93"/>
      <c r="P7" s="93"/>
      <c r="Q7" s="93"/>
      <c r="R7" s="93"/>
      <c r="S7" s="94"/>
      <c r="T7" s="94"/>
      <c r="U7" s="95"/>
      <c r="AB7" s="21"/>
    </row>
    <row r="8" spans="1:36" s="20" customFormat="1" ht="15.75">
      <c r="A8" s="19"/>
      <c r="B8" s="148" t="s">
        <v>79</v>
      </c>
      <c r="C8" s="149" t="e">
        <f>#REF!</f>
        <v>#REF!</v>
      </c>
      <c r="D8" s="145"/>
      <c r="E8" s="92"/>
      <c r="F8" s="92"/>
      <c r="G8" s="145"/>
      <c r="H8" s="92"/>
      <c r="I8" s="92"/>
      <c r="J8" s="146" t="s">
        <v>276</v>
      </c>
      <c r="K8" s="145"/>
      <c r="L8" s="145"/>
      <c r="M8" s="145"/>
      <c r="N8" s="96"/>
      <c r="O8" s="96"/>
      <c r="P8" s="96"/>
      <c r="Q8" s="96"/>
      <c r="R8" s="96"/>
      <c r="S8" s="145"/>
      <c r="T8" s="2647"/>
      <c r="U8" s="2648"/>
      <c r="AB8" s="21"/>
    </row>
    <row r="9" spans="1:36" s="20" customFormat="1" ht="15.75">
      <c r="A9" s="19"/>
      <c r="B9" s="148" t="s">
        <v>11</v>
      </c>
      <c r="C9" s="206" t="e">
        <f>VLOOKUP(B9,[0]!_xlnm.Print_Area,2,FALSE)</f>
        <v>#REF!</v>
      </c>
      <c r="D9" s="145"/>
      <c r="E9" s="92"/>
      <c r="F9" s="92"/>
      <c r="G9" s="145"/>
      <c r="H9" s="92"/>
      <c r="I9" s="92"/>
      <c r="J9" s="146" t="s">
        <v>277</v>
      </c>
      <c r="K9" s="145"/>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206" t="e">
        <f>VLOOKUP(B10,[0]!_xlnm.Print_Area,2,FALSE)</f>
        <v>#REF!</v>
      </c>
      <c r="D10" s="145"/>
      <c r="E10" s="92"/>
      <c r="F10" s="92"/>
      <c r="G10" s="145"/>
      <c r="H10" s="92"/>
      <c r="I10" s="92"/>
      <c r="J10" s="146" t="s">
        <v>278</v>
      </c>
      <c r="K10" s="145"/>
      <c r="L10" s="92"/>
      <c r="M10" s="92"/>
      <c r="N10" s="92"/>
      <c r="O10" s="92"/>
      <c r="P10" s="202"/>
      <c r="Q10" s="202"/>
      <c r="R10" s="202"/>
      <c r="S10" s="202"/>
      <c r="T10" s="2660"/>
      <c r="U10" s="2661"/>
      <c r="AA10" s="22"/>
      <c r="AB10" s="22"/>
      <c r="AC10" s="22"/>
      <c r="AD10" s="22"/>
      <c r="AE10" s="22"/>
      <c r="AF10" s="22"/>
      <c r="AG10" s="22"/>
      <c r="AH10" s="22"/>
      <c r="AI10" s="22"/>
      <c r="AJ10" s="22"/>
    </row>
    <row r="11" spans="1:36" s="29" customFormat="1" ht="21" customHeight="1">
      <c r="A11" s="23"/>
      <c r="B11" s="143" t="str">
        <f>LEFT(A52,1)</f>
        <v>9</v>
      </c>
      <c r="C11" s="2662" t="s">
        <v>281</v>
      </c>
      <c r="D11" s="2663"/>
      <c r="E11" s="2663"/>
      <c r="F11" s="2663"/>
      <c r="G11" s="2663"/>
      <c r="H11" s="2663"/>
      <c r="I11" s="2663"/>
      <c r="J11" s="2663"/>
      <c r="K11" s="2663"/>
      <c r="L11" s="2663"/>
      <c r="M11" s="207"/>
      <c r="N11" s="207"/>
      <c r="O11" s="207"/>
      <c r="P11" s="207"/>
      <c r="Q11" s="207"/>
      <c r="R11" s="207"/>
      <c r="S11" s="207"/>
      <c r="T11" s="207"/>
      <c r="U11" s="208"/>
      <c r="V11" s="26"/>
      <c r="W11" s="26"/>
      <c r="X11" s="26"/>
      <c r="Y11" s="26"/>
      <c r="Z11" s="27"/>
      <c r="AA11" s="28"/>
      <c r="AB11" s="28"/>
      <c r="AC11" s="28"/>
      <c r="AD11" s="28"/>
      <c r="AE11" s="28"/>
      <c r="AF11" s="28"/>
      <c r="AG11" s="28"/>
      <c r="AH11" s="28"/>
      <c r="AI11" s="28"/>
      <c r="AJ11" s="28"/>
    </row>
    <row r="12" spans="1:36" s="29" customFormat="1" ht="20.100000000000001" customHeight="1">
      <c r="A12" s="23"/>
      <c r="B12" s="2664" t="e">
        <f>VLOOKUP(A52,#REF!,2,FALSE)</f>
        <v>#REF!</v>
      </c>
      <c r="C12" s="2665" t="e">
        <f>VLOOKUP(A52,#REF!,3,FALSE)</f>
        <v>#REF!</v>
      </c>
      <c r="D12" s="2666" t="s">
        <v>97</v>
      </c>
      <c r="E12" s="2666"/>
      <c r="F12" s="2666"/>
      <c r="G12" s="2666"/>
      <c r="H12" s="2666"/>
      <c r="I12" s="2666"/>
      <c r="J12" s="2668" t="s">
        <v>98</v>
      </c>
      <c r="K12" s="2668" t="s">
        <v>102</v>
      </c>
      <c r="L12" s="2668" t="s">
        <v>103</v>
      </c>
      <c r="M12" s="2668" t="s">
        <v>113</v>
      </c>
      <c r="N12" s="2668" t="s">
        <v>112</v>
      </c>
      <c r="O12" s="2668" t="s">
        <v>107</v>
      </c>
      <c r="P12" s="192" t="s">
        <v>153</v>
      </c>
      <c r="Q12" s="2668" t="s">
        <v>16</v>
      </c>
      <c r="R12" s="2668" t="s">
        <v>2</v>
      </c>
      <c r="S12" s="2668" t="s">
        <v>99</v>
      </c>
      <c r="T12" s="2668" t="s">
        <v>17</v>
      </c>
      <c r="U12" s="2667"/>
      <c r="V12" s="26"/>
      <c r="W12" s="26"/>
      <c r="X12" s="26"/>
      <c r="Y12" s="26"/>
      <c r="Z12" s="27"/>
      <c r="AA12" s="28"/>
      <c r="AB12" s="28"/>
      <c r="AC12" s="28"/>
      <c r="AD12" s="28"/>
      <c r="AE12" s="28"/>
      <c r="AF12" s="28"/>
      <c r="AG12" s="28"/>
      <c r="AH12" s="28"/>
      <c r="AI12" s="28"/>
      <c r="AJ12" s="28"/>
    </row>
    <row r="13" spans="1:36" s="29" customFormat="1" ht="20.100000000000001" customHeight="1">
      <c r="A13" s="23"/>
      <c r="B13" s="2664"/>
      <c r="C13" s="2665"/>
      <c r="D13" s="2669" t="s">
        <v>14</v>
      </c>
      <c r="E13" s="2669"/>
      <c r="F13" s="2669"/>
      <c r="G13" s="2667" t="s">
        <v>15</v>
      </c>
      <c r="H13" s="2667"/>
      <c r="I13" s="2667"/>
      <c r="J13" s="2417"/>
      <c r="K13" s="2417"/>
      <c r="L13" s="2417"/>
      <c r="M13" s="2417"/>
      <c r="N13" s="2417"/>
      <c r="O13" s="2417"/>
      <c r="P13" s="89" t="s">
        <v>104</v>
      </c>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39"/>
      <c r="C14" s="176" t="s">
        <v>198</v>
      </c>
      <c r="D14" s="82">
        <v>104</v>
      </c>
      <c r="E14" s="44" t="s">
        <v>68</v>
      </c>
      <c r="F14" s="83">
        <v>10</v>
      </c>
      <c r="G14" s="82">
        <v>114</v>
      </c>
      <c r="H14" s="44" t="s">
        <v>68</v>
      </c>
      <c r="I14" s="83">
        <v>0</v>
      </c>
      <c r="J14" s="46" t="s">
        <v>69</v>
      </c>
      <c r="K14" s="171">
        <v>190</v>
      </c>
      <c r="L14" s="171">
        <f>N14/K14</f>
        <v>1.8246315789473684</v>
      </c>
      <c r="M14" s="171">
        <v>0.26</v>
      </c>
      <c r="N14" s="216">
        <v>346.68</v>
      </c>
      <c r="O14" s="216">
        <f>M14*N14</f>
        <v>90.136800000000008</v>
      </c>
      <c r="Q14" s="222"/>
      <c r="R14" s="53">
        <f>O14</f>
        <v>90.136800000000008</v>
      </c>
      <c r="S14" s="54" t="s">
        <v>5</v>
      </c>
      <c r="T14" s="141" t="s">
        <v>80</v>
      </c>
      <c r="U14" s="39" t="s">
        <v>203</v>
      </c>
      <c r="V14" s="26"/>
      <c r="W14" s="26"/>
      <c r="X14" s="26"/>
      <c r="Y14" s="26"/>
      <c r="Z14" s="27"/>
    </row>
    <row r="15" spans="1:36" s="28" customFormat="1" ht="20.100000000000001" customHeight="1">
      <c r="A15" s="129"/>
      <c r="B15" s="139"/>
      <c r="C15" s="79" t="s">
        <v>208</v>
      </c>
      <c r="D15" s="156">
        <v>307</v>
      </c>
      <c r="E15" s="86" t="s">
        <v>68</v>
      </c>
      <c r="F15" s="155">
        <v>7</v>
      </c>
      <c r="G15" s="156">
        <v>308</v>
      </c>
      <c r="H15" s="86" t="s">
        <v>68</v>
      </c>
      <c r="I15" s="155">
        <v>0</v>
      </c>
      <c r="J15" s="138"/>
      <c r="K15" s="215"/>
      <c r="L15" s="134"/>
      <c r="M15" s="136"/>
      <c r="N15" s="135"/>
      <c r="O15" s="135">
        <v>0.45</v>
      </c>
      <c r="P15" s="134">
        <v>85.15</v>
      </c>
      <c r="Q15" s="133"/>
      <c r="R15" s="133">
        <f>P15*O15</f>
        <v>38.317500000000003</v>
      </c>
      <c r="S15" s="132" t="s">
        <v>5</v>
      </c>
      <c r="T15" s="140" t="s">
        <v>93</v>
      </c>
      <c r="U15" s="212"/>
      <c r="V15" s="26"/>
      <c r="W15" s="26"/>
      <c r="X15" s="26"/>
      <c r="Y15" s="26"/>
      <c r="Z15" s="27"/>
      <c r="AA15" s="41"/>
      <c r="AB15" s="114"/>
    </row>
    <row r="16" spans="1:36" s="28" customFormat="1" ht="20.100000000000001" customHeight="1">
      <c r="A16" s="129"/>
      <c r="B16" s="139"/>
      <c r="C16" s="79"/>
      <c r="D16" s="85"/>
      <c r="E16" s="86"/>
      <c r="F16" s="87"/>
      <c r="G16" s="85"/>
      <c r="H16" s="86"/>
      <c r="I16" s="87"/>
      <c r="J16" s="138"/>
      <c r="K16" s="193"/>
      <c r="L16" s="134"/>
      <c r="M16" s="136"/>
      <c r="N16" s="135"/>
      <c r="O16" s="135"/>
      <c r="P16" s="134"/>
      <c r="Q16" s="133"/>
      <c r="R16" s="133"/>
      <c r="S16" s="132"/>
      <c r="T16" s="131"/>
      <c r="U16" s="130"/>
      <c r="V16" s="26"/>
      <c r="W16" s="26"/>
      <c r="X16" s="26"/>
      <c r="Y16" s="26"/>
      <c r="Z16" s="27"/>
      <c r="AA16" s="41"/>
      <c r="AB16" s="114"/>
    </row>
    <row r="17" spans="1:28" s="28" customFormat="1" ht="20.100000000000001" customHeight="1">
      <c r="A17" s="129"/>
      <c r="B17" s="139"/>
      <c r="C17" s="79"/>
      <c r="D17" s="85"/>
      <c r="E17" s="86"/>
      <c r="F17" s="87"/>
      <c r="G17" s="85"/>
      <c r="H17" s="86"/>
      <c r="I17" s="87"/>
      <c r="J17" s="138"/>
      <c r="K17" s="193"/>
      <c r="L17" s="134"/>
      <c r="M17" s="136"/>
      <c r="N17" s="135"/>
      <c r="O17" s="135"/>
      <c r="P17" s="134"/>
      <c r="Q17" s="133"/>
      <c r="R17" s="133"/>
      <c r="S17" s="132"/>
      <c r="T17" s="131"/>
      <c r="U17" s="130"/>
      <c r="V17" s="26"/>
      <c r="W17" s="26"/>
      <c r="X17" s="26"/>
      <c r="Y17" s="26"/>
      <c r="Z17" s="27"/>
      <c r="AA17" s="41"/>
      <c r="AB17" s="114"/>
    </row>
    <row r="18" spans="1:28" s="28" customFormat="1" ht="20.100000000000001" customHeight="1">
      <c r="A18" s="129"/>
      <c r="B18" s="139"/>
      <c r="C18" s="79"/>
      <c r="D18" s="85"/>
      <c r="E18" s="86"/>
      <c r="F18" s="87"/>
      <c r="G18" s="85"/>
      <c r="H18" s="86"/>
      <c r="I18" s="87"/>
      <c r="J18" s="138"/>
      <c r="K18" s="137"/>
      <c r="L18" s="134"/>
      <c r="M18" s="136"/>
      <c r="N18" s="135"/>
      <c r="O18" s="135"/>
      <c r="P18" s="134"/>
      <c r="Q18" s="133"/>
      <c r="R18" s="133"/>
      <c r="S18" s="132"/>
      <c r="T18" s="131"/>
      <c r="U18" s="130"/>
      <c r="V18" s="26"/>
      <c r="W18" s="26"/>
      <c r="X18" s="26"/>
      <c r="Y18" s="26"/>
      <c r="Z18" s="27"/>
      <c r="AA18" s="41"/>
      <c r="AB18" s="114"/>
    </row>
    <row r="19" spans="1:28" s="28" customFormat="1" ht="20.100000000000001" customHeight="1">
      <c r="A19" s="129"/>
      <c r="B19" s="139"/>
      <c r="C19" s="79"/>
      <c r="D19" s="85"/>
      <c r="E19" s="86"/>
      <c r="F19" s="87"/>
      <c r="G19" s="85"/>
      <c r="H19" s="86"/>
      <c r="I19" s="87"/>
      <c r="J19" s="138"/>
      <c r="K19" s="137"/>
      <c r="L19" s="134"/>
      <c r="M19" s="136"/>
      <c r="N19" s="135"/>
      <c r="O19" s="135"/>
      <c r="P19" s="134"/>
      <c r="Q19" s="133"/>
      <c r="R19" s="133"/>
      <c r="S19" s="132"/>
      <c r="T19" s="131"/>
      <c r="U19" s="130"/>
      <c r="V19" s="26"/>
      <c r="W19" s="26"/>
      <c r="X19" s="26"/>
      <c r="Y19" s="26"/>
      <c r="Z19" s="27"/>
      <c r="AA19" s="41"/>
      <c r="AB19" s="114"/>
    </row>
    <row r="20" spans="1:28" s="28" customFormat="1" ht="20.100000000000001" customHeight="1">
      <c r="A20" s="129"/>
      <c r="B20" s="139"/>
      <c r="C20" s="79"/>
      <c r="D20" s="85"/>
      <c r="E20" s="86"/>
      <c r="F20" s="87"/>
      <c r="G20" s="85"/>
      <c r="H20" s="86"/>
      <c r="I20" s="87"/>
      <c r="J20" s="138"/>
      <c r="K20" s="137"/>
      <c r="L20" s="134"/>
      <c r="M20" s="136"/>
      <c r="N20" s="135"/>
      <c r="O20" s="135"/>
      <c r="P20" s="134"/>
      <c r="Q20" s="133"/>
      <c r="R20" s="133"/>
      <c r="S20" s="132"/>
      <c r="T20" s="131"/>
      <c r="U20" s="130"/>
      <c r="V20" s="26"/>
      <c r="W20" s="26"/>
      <c r="X20" s="26"/>
      <c r="Y20" s="26"/>
      <c r="Z20" s="27"/>
      <c r="AA20" s="41"/>
      <c r="AB20" s="114"/>
    </row>
    <row r="21" spans="1:28" s="28" customFormat="1" ht="20.100000000000001" customHeight="1">
      <c r="A21" s="129"/>
      <c r="B21" s="139"/>
      <c r="C21" s="79"/>
      <c r="D21" s="85"/>
      <c r="E21" s="86"/>
      <c r="F21" s="87"/>
      <c r="G21" s="85"/>
      <c r="H21" s="86"/>
      <c r="I21" s="87"/>
      <c r="J21" s="138"/>
      <c r="K21" s="137"/>
      <c r="L21" s="134"/>
      <c r="M21" s="136"/>
      <c r="N21" s="135"/>
      <c r="O21" s="135"/>
      <c r="P21" s="134"/>
      <c r="Q21" s="133"/>
      <c r="R21" s="133"/>
      <c r="S21" s="132"/>
      <c r="T21" s="131"/>
      <c r="U21" s="130"/>
      <c r="V21" s="26"/>
      <c r="W21" s="26"/>
      <c r="X21" s="26"/>
      <c r="Y21" s="26"/>
      <c r="Z21" s="27"/>
      <c r="AA21" s="41"/>
      <c r="AB21" s="114"/>
    </row>
    <row r="22" spans="1:28" s="28" customFormat="1" ht="20.100000000000001" customHeight="1">
      <c r="A22" s="129"/>
      <c r="B22" s="139"/>
      <c r="C22" s="79"/>
      <c r="D22" s="85"/>
      <c r="E22" s="86"/>
      <c r="F22" s="87"/>
      <c r="G22" s="85"/>
      <c r="H22" s="86"/>
      <c r="I22" s="87"/>
      <c r="J22" s="138"/>
      <c r="K22" s="137"/>
      <c r="L22" s="134"/>
      <c r="M22" s="136"/>
      <c r="N22" s="135"/>
      <c r="O22" s="135"/>
      <c r="P22" s="134"/>
      <c r="Q22" s="133"/>
      <c r="R22" s="133"/>
      <c r="S22" s="132"/>
      <c r="T22" s="131"/>
      <c r="U22" s="130"/>
      <c r="V22" s="26"/>
      <c r="W22" s="26"/>
      <c r="X22" s="26"/>
      <c r="Y22" s="26"/>
      <c r="Z22" s="27"/>
      <c r="AA22" s="41"/>
      <c r="AB22" s="114"/>
    </row>
    <row r="23" spans="1:28" s="28" customFormat="1" ht="20.100000000000001" customHeight="1">
      <c r="A23" s="129"/>
      <c r="B23" s="139"/>
      <c r="C23" s="79"/>
      <c r="D23" s="85"/>
      <c r="E23" s="86"/>
      <c r="F23" s="87"/>
      <c r="G23" s="85"/>
      <c r="H23" s="86"/>
      <c r="I23" s="87"/>
      <c r="J23" s="138"/>
      <c r="K23" s="137"/>
      <c r="L23" s="134"/>
      <c r="M23" s="136"/>
      <c r="N23" s="135"/>
      <c r="O23" s="135"/>
      <c r="P23" s="134"/>
      <c r="Q23" s="133"/>
      <c r="R23" s="133"/>
      <c r="S23" s="132"/>
      <c r="T23" s="131"/>
      <c r="U23" s="130"/>
      <c r="V23" s="26"/>
      <c r="W23" s="26"/>
      <c r="X23" s="26"/>
      <c r="Y23" s="26"/>
      <c r="Z23" s="27"/>
      <c r="AA23" s="41"/>
      <c r="AB23" s="114"/>
    </row>
    <row r="24" spans="1:28" s="28" customFormat="1" ht="20.100000000000001" customHeight="1">
      <c r="A24" s="129"/>
      <c r="B24" s="139"/>
      <c r="C24" s="79"/>
      <c r="D24" s="85"/>
      <c r="E24" s="86"/>
      <c r="F24" s="87"/>
      <c r="G24" s="85"/>
      <c r="H24" s="86"/>
      <c r="I24" s="87"/>
      <c r="J24" s="138"/>
      <c r="K24" s="137"/>
      <c r="L24" s="134"/>
      <c r="M24" s="136"/>
      <c r="N24" s="135"/>
      <c r="O24" s="135"/>
      <c r="P24" s="134"/>
      <c r="Q24" s="133"/>
      <c r="R24" s="133"/>
      <c r="S24" s="132"/>
      <c r="T24" s="131"/>
      <c r="U24" s="130"/>
      <c r="V24" s="26"/>
      <c r="W24" s="26"/>
      <c r="X24" s="26"/>
      <c r="Y24" s="26"/>
      <c r="Z24" s="27"/>
      <c r="AA24" s="41"/>
      <c r="AB24" s="114"/>
    </row>
    <row r="25" spans="1:28" s="28" customFormat="1" ht="20.100000000000001" customHeight="1">
      <c r="A25" s="129"/>
      <c r="B25" s="139"/>
      <c r="C25" s="79"/>
      <c r="D25" s="85"/>
      <c r="E25" s="86"/>
      <c r="F25" s="87"/>
      <c r="G25" s="85"/>
      <c r="H25" s="86"/>
      <c r="I25" s="87"/>
      <c r="J25" s="138"/>
      <c r="K25" s="137"/>
      <c r="L25" s="134"/>
      <c r="M25" s="136"/>
      <c r="N25" s="135"/>
      <c r="O25" s="135"/>
      <c r="P25" s="134"/>
      <c r="Q25" s="133"/>
      <c r="R25" s="133"/>
      <c r="S25" s="154"/>
      <c r="T25" s="153"/>
      <c r="U25" s="130"/>
      <c r="V25" s="26"/>
      <c r="W25" s="26"/>
      <c r="X25" s="26"/>
      <c r="Y25" s="26"/>
      <c r="Z25" s="27"/>
      <c r="AA25" s="41"/>
      <c r="AB25" s="114"/>
    </row>
    <row r="26" spans="1:28" s="28" customFormat="1" ht="20.100000000000001" customHeight="1">
      <c r="A26" s="129"/>
      <c r="B26" s="139"/>
      <c r="C26" s="79"/>
      <c r="D26" s="85"/>
      <c r="E26" s="86"/>
      <c r="F26" s="87"/>
      <c r="G26" s="85"/>
      <c r="H26" s="86"/>
      <c r="I26" s="87"/>
      <c r="J26" s="138"/>
      <c r="K26" s="137"/>
      <c r="L26" s="134"/>
      <c r="M26" s="136"/>
      <c r="N26" s="135"/>
      <c r="O26" s="135"/>
      <c r="P26" s="134"/>
      <c r="Q26" s="133"/>
      <c r="R26" s="133"/>
      <c r="S26" s="132"/>
      <c r="T26" s="131"/>
      <c r="U26" s="130"/>
      <c r="V26" s="26"/>
      <c r="W26" s="26"/>
      <c r="X26" s="26"/>
      <c r="Y26" s="26"/>
      <c r="Z26" s="27"/>
      <c r="AA26" s="41"/>
      <c r="AB26" s="114"/>
    </row>
    <row r="27" spans="1:28" s="28" customFormat="1" ht="20.100000000000001" customHeight="1">
      <c r="A27" s="129"/>
      <c r="B27" s="139"/>
      <c r="C27" s="79"/>
      <c r="D27" s="85"/>
      <c r="E27" s="86"/>
      <c r="F27" s="87"/>
      <c r="G27" s="85"/>
      <c r="H27" s="86"/>
      <c r="I27" s="87"/>
      <c r="J27" s="138"/>
      <c r="K27" s="137"/>
      <c r="L27" s="134"/>
      <c r="M27" s="136"/>
      <c r="N27" s="135"/>
      <c r="O27" s="135"/>
      <c r="P27" s="134"/>
      <c r="Q27" s="133"/>
      <c r="R27" s="133"/>
      <c r="S27" s="132"/>
      <c r="T27" s="131"/>
      <c r="U27" s="130"/>
      <c r="V27" s="26"/>
      <c r="W27" s="26"/>
      <c r="X27" s="26"/>
      <c r="Y27" s="26"/>
      <c r="Z27" s="27"/>
      <c r="AA27" s="41"/>
      <c r="AB27" s="114"/>
    </row>
    <row r="28" spans="1:28" s="28" customFormat="1" ht="20.100000000000001" customHeight="1">
      <c r="A28" s="129"/>
      <c r="B28" s="139"/>
      <c r="C28" s="79"/>
      <c r="D28" s="85"/>
      <c r="E28" s="86"/>
      <c r="F28" s="87"/>
      <c r="G28" s="85"/>
      <c r="H28" s="86"/>
      <c r="I28" s="87"/>
      <c r="J28" s="138"/>
      <c r="K28" s="137"/>
      <c r="L28" s="134"/>
      <c r="M28" s="136"/>
      <c r="N28" s="135"/>
      <c r="O28" s="135"/>
      <c r="P28" s="134"/>
      <c r="Q28" s="133"/>
      <c r="R28" s="133"/>
      <c r="S28" s="132"/>
      <c r="T28" s="131"/>
      <c r="U28" s="130"/>
      <c r="V28" s="26"/>
      <c r="W28" s="26"/>
      <c r="X28" s="26"/>
      <c r="Y28" s="26"/>
      <c r="Z28" s="27"/>
      <c r="AA28" s="41"/>
      <c r="AB28" s="114"/>
    </row>
    <row r="29" spans="1:28" s="28" customFormat="1" ht="20.100000000000001" customHeight="1">
      <c r="A29" s="129"/>
      <c r="B29" s="139"/>
      <c r="C29" s="79"/>
      <c r="D29" s="85"/>
      <c r="E29" s="86"/>
      <c r="F29" s="87"/>
      <c r="G29" s="85"/>
      <c r="H29" s="86"/>
      <c r="I29" s="87"/>
      <c r="J29" s="138"/>
      <c r="K29" s="137"/>
      <c r="L29" s="134"/>
      <c r="M29" s="136"/>
      <c r="N29" s="135"/>
      <c r="O29" s="135"/>
      <c r="P29" s="134"/>
      <c r="Q29" s="133"/>
      <c r="R29" s="133"/>
      <c r="S29" s="132"/>
      <c r="T29" s="131"/>
      <c r="U29" s="130"/>
      <c r="V29" s="26"/>
      <c r="W29" s="26"/>
      <c r="X29" s="26"/>
      <c r="Y29" s="26"/>
      <c r="Z29" s="27"/>
      <c r="AA29" s="41"/>
      <c r="AB29" s="114"/>
    </row>
    <row r="30" spans="1:28" s="28" customFormat="1" ht="20.100000000000001" customHeight="1">
      <c r="A30" s="129"/>
      <c r="B30" s="139"/>
      <c r="C30" s="79"/>
      <c r="D30" s="85"/>
      <c r="E30" s="86"/>
      <c r="F30" s="87"/>
      <c r="G30" s="85"/>
      <c r="H30" s="86"/>
      <c r="I30" s="87"/>
      <c r="J30" s="138"/>
      <c r="K30" s="137"/>
      <c r="L30" s="134"/>
      <c r="M30" s="136"/>
      <c r="N30" s="135"/>
      <c r="O30" s="135"/>
      <c r="P30" s="134"/>
      <c r="Q30" s="133"/>
      <c r="R30" s="133"/>
      <c r="S30" s="132"/>
      <c r="T30" s="131"/>
      <c r="U30" s="130"/>
      <c r="V30" s="26"/>
      <c r="W30" s="26"/>
      <c r="X30" s="26"/>
      <c r="Y30" s="26"/>
      <c r="Z30" s="27"/>
      <c r="AA30" s="41"/>
      <c r="AB30" s="114"/>
    </row>
    <row r="31" spans="1:28" s="28" customFormat="1" ht="20.100000000000001" customHeight="1">
      <c r="A31" s="129"/>
      <c r="B31" s="139"/>
      <c r="C31" s="79"/>
      <c r="D31" s="85"/>
      <c r="E31" s="86"/>
      <c r="F31" s="87"/>
      <c r="G31" s="85"/>
      <c r="H31" s="86"/>
      <c r="I31" s="87"/>
      <c r="J31" s="138"/>
      <c r="K31" s="137"/>
      <c r="L31" s="134"/>
      <c r="M31" s="136"/>
      <c r="N31" s="135"/>
      <c r="O31" s="135"/>
      <c r="P31" s="134"/>
      <c r="Q31" s="133"/>
      <c r="R31" s="133"/>
      <c r="S31" s="132"/>
      <c r="T31" s="131"/>
      <c r="U31" s="130"/>
      <c r="V31" s="26"/>
      <c r="W31" s="26"/>
      <c r="X31" s="26"/>
      <c r="Y31" s="26"/>
      <c r="Z31" s="27"/>
      <c r="AA31" s="41"/>
      <c r="AB31" s="114"/>
    </row>
    <row r="32" spans="1:28" s="28" customFormat="1" ht="20.100000000000001" customHeight="1">
      <c r="A32" s="129"/>
      <c r="B32" s="139"/>
      <c r="C32" s="79"/>
      <c r="D32" s="85"/>
      <c r="E32" s="86"/>
      <c r="F32" s="87"/>
      <c r="G32" s="85"/>
      <c r="H32" s="86"/>
      <c r="I32" s="87"/>
      <c r="J32" s="138"/>
      <c r="K32" s="137"/>
      <c r="L32" s="134"/>
      <c r="M32" s="136"/>
      <c r="N32" s="135"/>
      <c r="O32" s="135"/>
      <c r="P32" s="134"/>
      <c r="Q32" s="133"/>
      <c r="R32" s="133"/>
      <c r="S32" s="132"/>
      <c r="T32" s="131"/>
      <c r="U32" s="130"/>
      <c r="V32" s="26"/>
      <c r="W32" s="26"/>
      <c r="X32" s="26"/>
      <c r="Y32" s="26"/>
      <c r="Z32" s="27"/>
      <c r="AA32" s="41"/>
      <c r="AB32" s="114"/>
    </row>
    <row r="33" spans="1:28" s="28" customFormat="1" ht="20.100000000000001" customHeight="1">
      <c r="A33" s="129"/>
      <c r="B33" s="139"/>
      <c r="C33" s="79"/>
      <c r="D33" s="85"/>
      <c r="E33" s="86"/>
      <c r="F33" s="87"/>
      <c r="G33" s="85"/>
      <c r="H33" s="86"/>
      <c r="I33" s="87"/>
      <c r="J33" s="138"/>
      <c r="K33" s="137"/>
      <c r="L33" s="134"/>
      <c r="M33" s="136"/>
      <c r="N33" s="135"/>
      <c r="O33" s="135"/>
      <c r="P33" s="134"/>
      <c r="Q33" s="133"/>
      <c r="R33" s="133"/>
      <c r="S33" s="132"/>
      <c r="T33" s="131"/>
      <c r="U33" s="130"/>
      <c r="V33" s="26"/>
      <c r="W33" s="26"/>
      <c r="X33" s="26"/>
      <c r="Y33" s="26"/>
      <c r="Z33" s="27"/>
      <c r="AA33" s="41"/>
      <c r="AB33" s="114"/>
    </row>
    <row r="34" spans="1:28" s="28" customFormat="1" ht="20.100000000000001" customHeight="1">
      <c r="A34" s="129"/>
      <c r="B34" s="139"/>
      <c r="C34" s="79"/>
      <c r="D34" s="85"/>
      <c r="E34" s="86"/>
      <c r="F34" s="87"/>
      <c r="G34" s="85"/>
      <c r="H34" s="86"/>
      <c r="I34" s="87"/>
      <c r="J34" s="138"/>
      <c r="K34" s="137"/>
      <c r="L34" s="134"/>
      <c r="M34" s="136"/>
      <c r="N34" s="135"/>
      <c r="O34" s="135"/>
      <c r="P34" s="134"/>
      <c r="Q34" s="133"/>
      <c r="R34" s="133"/>
      <c r="S34" s="132"/>
      <c r="T34" s="131"/>
      <c r="U34" s="130"/>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133"/>
      <c r="R35" s="133"/>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133"/>
      <c r="R36" s="133"/>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133"/>
      <c r="R37" s="133"/>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28" customFormat="1" ht="20.100000000000001" customHeight="1">
      <c r="A48" s="129"/>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114"/>
    </row>
    <row r="49" spans="1:28" s="28" customFormat="1" ht="20.100000000000001" customHeight="1">
      <c r="A49" s="129"/>
      <c r="B49" s="128"/>
      <c r="C49" s="127"/>
      <c r="D49" s="126"/>
      <c r="E49" s="125"/>
      <c r="F49" s="124"/>
      <c r="G49" s="126"/>
      <c r="H49" s="125"/>
      <c r="I49" s="124"/>
      <c r="J49" s="123"/>
      <c r="K49" s="122"/>
      <c r="L49" s="119"/>
      <c r="M49" s="121"/>
      <c r="N49" s="120"/>
      <c r="O49" s="120"/>
      <c r="P49" s="119"/>
      <c r="Q49" s="118"/>
      <c r="R49" s="118"/>
      <c r="S49" s="117"/>
      <c r="T49" s="116"/>
      <c r="U49" s="115"/>
      <c r="V49" s="26"/>
      <c r="W49" s="26"/>
      <c r="X49" s="26"/>
      <c r="Y49" s="26"/>
      <c r="Z49" s="27"/>
      <c r="AA49" s="41"/>
      <c r="AB49" s="114"/>
    </row>
    <row r="50" spans="1:28" ht="20.100000000000001" customHeight="1">
      <c r="B50" s="109"/>
      <c r="C50" s="113"/>
      <c r="D50" s="2670" t="s">
        <v>18</v>
      </c>
      <c r="E50" s="2671"/>
      <c r="F50" s="2671"/>
      <c r="G50" s="2671"/>
      <c r="H50" s="2671"/>
      <c r="I50" s="2672"/>
      <c r="J50" s="2694">
        <v>91.6</v>
      </c>
      <c r="K50" s="2695"/>
      <c r="L50" s="112" t="s">
        <v>5</v>
      </c>
      <c r="M50" s="2696" t="s">
        <v>19</v>
      </c>
      <c r="N50" s="2697"/>
      <c r="O50" s="2697"/>
      <c r="P50" s="2697"/>
      <c r="Q50" s="2698"/>
      <c r="R50" s="111">
        <f>SUM(R14:R49)</f>
        <v>128.45430000000002</v>
      </c>
      <c r="S50" s="110" t="str">
        <f>L50</f>
        <v>m³</v>
      </c>
      <c r="T50" s="106"/>
      <c r="U50" s="105"/>
    </row>
    <row r="51" spans="1:28" ht="20.100000000000001" customHeight="1">
      <c r="B51" s="109"/>
      <c r="C51" s="72"/>
      <c r="D51" s="2746" t="s">
        <v>20</v>
      </c>
      <c r="E51" s="2679"/>
      <c r="F51" s="2679"/>
      <c r="G51" s="2679"/>
      <c r="H51" s="2679"/>
      <c r="I51" s="2680"/>
      <c r="J51" s="2747">
        <f>R50/J50</f>
        <v>1.4023395196506554</v>
      </c>
      <c r="K51" s="2700"/>
      <c r="L51" s="2703"/>
      <c r="M51" s="2737" t="s">
        <v>21</v>
      </c>
      <c r="N51" s="2738"/>
      <c r="O51" s="2738"/>
      <c r="P51" s="2738"/>
      <c r="Q51" s="2739"/>
      <c r="R51" s="108">
        <f>SUM(R14)</f>
        <v>90.136800000000008</v>
      </c>
      <c r="S51" s="107" t="str">
        <f>L50</f>
        <v>m³</v>
      </c>
      <c r="T51" s="106"/>
      <c r="U51" s="105"/>
    </row>
    <row r="52" spans="1:28" ht="20.100000000000001" customHeight="1">
      <c r="A52" s="12" t="s">
        <v>182</v>
      </c>
      <c r="B52" s="213"/>
      <c r="C52" s="73"/>
      <c r="D52" s="2670"/>
      <c r="E52" s="2671"/>
      <c r="F52" s="2671"/>
      <c r="G52" s="2671"/>
      <c r="H52" s="2671"/>
      <c r="I52" s="2672"/>
      <c r="J52" s="2701"/>
      <c r="K52" s="2702"/>
      <c r="L52" s="2704"/>
      <c r="M52" s="2737" t="s">
        <v>22</v>
      </c>
      <c r="N52" s="2738"/>
      <c r="O52" s="2738"/>
      <c r="P52" s="2738"/>
      <c r="Q52" s="2739"/>
      <c r="R52" s="103">
        <v>0</v>
      </c>
      <c r="S52" s="102" t="str">
        <f>L50</f>
        <v>m³</v>
      </c>
      <c r="T52" s="101"/>
      <c r="U52" s="100"/>
    </row>
  </sheetData>
  <mergeCells count="33">
    <mergeCell ref="T8:U8"/>
    <mergeCell ref="B1:U5"/>
    <mergeCell ref="V5:AA5"/>
    <mergeCell ref="B6:I6"/>
    <mergeCell ref="J6:O6"/>
    <mergeCell ref="P6:U6"/>
    <mergeCell ref="T9:U9"/>
    <mergeCell ref="T10:U10"/>
    <mergeCell ref="C11:L11"/>
    <mergeCell ref="B12:B13"/>
    <mergeCell ref="C12:C13"/>
    <mergeCell ref="D12:I12"/>
    <mergeCell ref="J12:J13"/>
    <mergeCell ref="K12:K13"/>
    <mergeCell ref="L12:L13"/>
    <mergeCell ref="M12:M13"/>
    <mergeCell ref="T12:T13"/>
    <mergeCell ref="U12:U13"/>
    <mergeCell ref="D13:F13"/>
    <mergeCell ref="G13:I13"/>
    <mergeCell ref="R12:R13"/>
    <mergeCell ref="S12:S13"/>
    <mergeCell ref="D50:I50"/>
    <mergeCell ref="J50:K50"/>
    <mergeCell ref="M50:Q50"/>
    <mergeCell ref="N12:N13"/>
    <mergeCell ref="O12:O13"/>
    <mergeCell ref="Q12:Q13"/>
    <mergeCell ref="D51:I52"/>
    <mergeCell ref="J51:K52"/>
    <mergeCell ref="L51:L52"/>
    <mergeCell ref="M51:Q51"/>
    <mergeCell ref="M52:Q52"/>
  </mergeCells>
  <conditionalFormatting sqref="J51:K52">
    <cfRule type="cellIs" dxfId="11" priority="1" operator="greaterThanOrEqual">
      <formula>1</formula>
    </cfRule>
    <cfRule type="cellIs" dxfId="10" priority="2" operator="greaterThan">
      <formula>100%</formula>
    </cfRule>
  </conditionalFormatting>
  <printOptions horizontalCentered="1"/>
  <pageMargins left="0.39370078740157483" right="0.39370078740157483" top="0.78740157480314965" bottom="0.78740157480314965" header="0" footer="0.19685039370078741"/>
  <pageSetup paperSize="9" scale="47" fitToHeight="0" orientation="landscape" r:id="rId1"/>
  <headerFooter>
    <oddFooter>&amp;L__________________________________
Valdemar Júnior Moreira
Engº Residente - &amp;"-,Itálico"Consórcio EPV&amp;CSebastião Encarnação
Engº. Fiscal - SEMOBI
Página &amp;P de &amp;N&amp;R__________________________________
Paulo Maurício Ferrari
Engº Fiscal - &amp;"-,Itálico"SR-U</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334F21"/>
    <pageSetUpPr fitToPage="1"/>
  </sheetPr>
  <dimension ref="A1:AJ52"/>
  <sheetViews>
    <sheetView showGridLines="0" view="pageBreakPreview" topLeftCell="A7" zoomScale="60" zoomScaleNormal="100" workbookViewId="0">
      <selection activeCell="R53" sqref="R53"/>
    </sheetView>
  </sheetViews>
  <sheetFormatPr defaultRowHeight="12.75"/>
  <cols>
    <col min="1" max="1" width="9.140625" style="12"/>
    <col min="2" max="2" width="14.2851562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5" width="13.5703125" style="8" customWidth="1"/>
    <col min="16" max="16" width="14.5703125" style="8" customWidth="1"/>
    <col min="17" max="17" width="13.5703125" style="8" customWidth="1"/>
    <col min="18" max="18" width="14.28515625" style="8" customWidth="1"/>
    <col min="19" max="19" width="9" style="8" customWidth="1"/>
    <col min="20" max="20" width="12.5703125" style="8" customWidth="1"/>
    <col min="21" max="21" width="38.140625" style="8" bestFit="1" customWidth="1"/>
    <col min="22" max="27" width="9.140625" style="8"/>
    <col min="28" max="28" width="12.7109375" style="15" customWidth="1"/>
    <col min="29" max="16384" width="9.140625" style="8"/>
  </cols>
  <sheetData>
    <row r="1" spans="1:36" ht="18.75" customHeight="1">
      <c r="B1" s="2652" t="s">
        <v>115</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655" t="s">
        <v>9</v>
      </c>
      <c r="C6" s="2656"/>
      <c r="D6" s="2656"/>
      <c r="E6" s="2656"/>
      <c r="F6" s="2656"/>
      <c r="G6" s="2656"/>
      <c r="H6" s="2656"/>
      <c r="I6" s="2748"/>
      <c r="J6" s="2749" t="s">
        <v>10</v>
      </c>
      <c r="K6" s="2750"/>
      <c r="L6" s="2750"/>
      <c r="M6" s="2750"/>
      <c r="N6" s="2750"/>
      <c r="O6" s="2751"/>
      <c r="P6" s="2655" t="s">
        <v>194</v>
      </c>
      <c r="Q6" s="2656"/>
      <c r="R6" s="2656"/>
      <c r="S6" s="2656"/>
      <c r="T6" s="2656"/>
      <c r="U6" s="2748"/>
      <c r="V6" s="99"/>
      <c r="W6" s="99"/>
      <c r="X6" s="99"/>
      <c r="Y6" s="99"/>
      <c r="Z6" s="99"/>
      <c r="AA6" s="99"/>
      <c r="AB6" s="17"/>
    </row>
    <row r="7" spans="1:36" s="20" customFormat="1" ht="15.75">
      <c r="A7" s="19"/>
      <c r="B7" s="152" t="s">
        <v>96</v>
      </c>
      <c r="C7" s="149" t="e">
        <f>#REF!</f>
        <v>#REF!</v>
      </c>
      <c r="D7" s="145"/>
      <c r="E7" s="92"/>
      <c r="F7" s="92"/>
      <c r="G7" s="145"/>
      <c r="H7" s="92"/>
      <c r="I7" s="92"/>
      <c r="J7" s="214" t="s">
        <v>114</v>
      </c>
      <c r="K7" s="145"/>
      <c r="L7" s="94"/>
      <c r="M7" s="93"/>
      <c r="N7" s="93"/>
      <c r="O7" s="150"/>
      <c r="P7" s="93"/>
      <c r="Q7" s="93"/>
      <c r="R7" s="93"/>
      <c r="S7" s="94"/>
      <c r="T7" s="94"/>
      <c r="U7" s="95"/>
      <c r="AB7" s="21"/>
    </row>
    <row r="8" spans="1:36" s="20" customFormat="1" ht="15.75">
      <c r="A8" s="19"/>
      <c r="B8" s="148" t="s">
        <v>79</v>
      </c>
      <c r="C8" s="149" t="e">
        <f>#REF!</f>
        <v>#REF!</v>
      </c>
      <c r="D8" s="145"/>
      <c r="E8" s="92"/>
      <c r="F8" s="92"/>
      <c r="G8" s="145"/>
      <c r="H8" s="92"/>
      <c r="I8" s="92"/>
      <c r="J8" s="146" t="s">
        <v>276</v>
      </c>
      <c r="K8" s="145"/>
      <c r="L8" s="145"/>
      <c r="M8" s="145"/>
      <c r="N8" s="96"/>
      <c r="O8" s="205"/>
      <c r="P8" s="96"/>
      <c r="Q8" s="96"/>
      <c r="R8" s="96"/>
      <c r="S8" s="145"/>
      <c r="T8" s="2647" t="s">
        <v>195</v>
      </c>
      <c r="U8" s="2648"/>
      <c r="AB8" s="21"/>
    </row>
    <row r="9" spans="1:36" s="20" customFormat="1" ht="15.75">
      <c r="A9" s="19"/>
      <c r="B9" s="148" t="s">
        <v>11</v>
      </c>
      <c r="C9" s="206" t="e">
        <f>VLOOKUP(B9,[0]!_xlnm.Print_Area,2,FALSE)</f>
        <v>#REF!</v>
      </c>
      <c r="D9" s="145"/>
      <c r="E9" s="92"/>
      <c r="F9" s="92"/>
      <c r="G9" s="145"/>
      <c r="H9" s="92"/>
      <c r="I9" s="92"/>
      <c r="J9" s="146" t="s">
        <v>277</v>
      </c>
      <c r="K9" s="145"/>
      <c r="L9" s="92"/>
      <c r="M9" s="92"/>
      <c r="N9" s="92"/>
      <c r="O9" s="144"/>
      <c r="P9" s="92"/>
      <c r="Q9" s="92"/>
      <c r="R9" s="92"/>
      <c r="S9" s="92"/>
      <c r="T9" s="2658" t="s">
        <v>196</v>
      </c>
      <c r="U9" s="2659"/>
      <c r="AA9" s="22"/>
      <c r="AB9" s="22"/>
      <c r="AC9" s="22"/>
      <c r="AD9" s="22"/>
      <c r="AE9" s="22"/>
      <c r="AF9" s="22"/>
      <c r="AG9" s="22"/>
      <c r="AH9" s="22"/>
      <c r="AI9" s="22"/>
      <c r="AJ9" s="22"/>
    </row>
    <row r="10" spans="1:36" s="20" customFormat="1" ht="15.75">
      <c r="A10" s="19"/>
      <c r="B10" s="148" t="s">
        <v>12</v>
      </c>
      <c r="C10" s="206" t="e">
        <f>VLOOKUP(B10,[0]!_xlnm.Print_Area,2,FALSE)</f>
        <v>#REF!</v>
      </c>
      <c r="D10" s="145"/>
      <c r="E10" s="92"/>
      <c r="F10" s="92"/>
      <c r="G10" s="145"/>
      <c r="H10" s="92"/>
      <c r="I10" s="92"/>
      <c r="J10" s="146" t="s">
        <v>278</v>
      </c>
      <c r="K10" s="145"/>
      <c r="L10" s="92"/>
      <c r="M10" s="92"/>
      <c r="N10" s="92"/>
      <c r="O10" s="144"/>
      <c r="P10" s="92"/>
      <c r="Q10" s="92"/>
      <c r="R10" s="92"/>
      <c r="S10" s="92"/>
      <c r="T10" s="2660" t="s">
        <v>197</v>
      </c>
      <c r="U10" s="2661"/>
      <c r="AA10" s="22"/>
      <c r="AB10" s="22"/>
      <c r="AC10" s="22"/>
      <c r="AD10" s="22"/>
      <c r="AE10" s="22"/>
      <c r="AF10" s="22"/>
      <c r="AG10" s="22"/>
      <c r="AH10" s="22"/>
      <c r="AI10" s="22"/>
      <c r="AJ10" s="22"/>
    </row>
    <row r="11" spans="1:36" s="29" customFormat="1" ht="21" customHeight="1">
      <c r="A11" s="23"/>
      <c r="B11" s="143" t="str">
        <f>LEFT(A52,1)</f>
        <v>9</v>
      </c>
      <c r="C11" s="2662" t="e">
        <f>VLOOKUP(B11,#REF!,3,FALSE)</f>
        <v>#REF!</v>
      </c>
      <c r="D11" s="2663"/>
      <c r="E11" s="2663"/>
      <c r="F11" s="2663"/>
      <c r="G11" s="2663"/>
      <c r="H11" s="2663"/>
      <c r="I11" s="2663"/>
      <c r="J11" s="2663"/>
      <c r="K11" s="2663"/>
      <c r="L11" s="2663"/>
      <c r="M11" s="207"/>
      <c r="N11" s="207"/>
      <c r="O11" s="207"/>
      <c r="P11" s="207"/>
      <c r="Q11" s="207"/>
      <c r="R11" s="207"/>
      <c r="S11" s="207"/>
      <c r="T11" s="207"/>
      <c r="U11" s="208"/>
      <c r="V11" s="26"/>
      <c r="W11" s="26"/>
      <c r="X11" s="26"/>
      <c r="Y11" s="26"/>
      <c r="Z11" s="27"/>
      <c r="AA11" s="28"/>
      <c r="AB11" s="28"/>
      <c r="AC11" s="28"/>
      <c r="AD11" s="28"/>
      <c r="AE11" s="28"/>
      <c r="AF11" s="28"/>
      <c r="AG11" s="28"/>
      <c r="AH11" s="28"/>
      <c r="AI11" s="28"/>
      <c r="AJ11" s="28"/>
    </row>
    <row r="12" spans="1:36" s="29" customFormat="1" ht="23.1" customHeight="1">
      <c r="A12" s="23"/>
      <c r="B12" s="2664" t="e">
        <f>VLOOKUP(A52,#REF!,2,FALSE)</f>
        <v>#REF!</v>
      </c>
      <c r="C12" s="2665" t="e">
        <f>VLOOKUP(A52,#REF!,3,FALSE)</f>
        <v>#REF!</v>
      </c>
      <c r="D12" s="2666" t="s">
        <v>97</v>
      </c>
      <c r="E12" s="2666"/>
      <c r="F12" s="2666"/>
      <c r="G12" s="2666"/>
      <c r="H12" s="2666"/>
      <c r="I12" s="2666"/>
      <c r="J12" s="2668" t="s">
        <v>98</v>
      </c>
      <c r="K12" s="2668" t="s">
        <v>102</v>
      </c>
      <c r="L12" s="2668" t="s">
        <v>103</v>
      </c>
      <c r="M12" s="2668" t="s">
        <v>113</v>
      </c>
      <c r="N12" s="2668" t="s">
        <v>112</v>
      </c>
      <c r="O12" s="2668" t="s">
        <v>107</v>
      </c>
      <c r="P12" s="192" t="s">
        <v>153</v>
      </c>
      <c r="Q12" s="2668" t="s">
        <v>16</v>
      </c>
      <c r="R12" s="2668" t="s">
        <v>2</v>
      </c>
      <c r="S12" s="2668" t="s">
        <v>99</v>
      </c>
      <c r="T12" s="2668" t="s">
        <v>17</v>
      </c>
      <c r="U12" s="2667"/>
      <c r="V12" s="26"/>
      <c r="W12" s="26"/>
      <c r="X12" s="26"/>
      <c r="Y12" s="26"/>
      <c r="Z12" s="27"/>
      <c r="AA12" s="28"/>
      <c r="AB12" s="28"/>
      <c r="AC12" s="28"/>
      <c r="AD12" s="28"/>
      <c r="AE12" s="28"/>
      <c r="AF12" s="28"/>
      <c r="AG12" s="28"/>
      <c r="AH12" s="28"/>
      <c r="AI12" s="28"/>
      <c r="AJ12" s="28"/>
    </row>
    <row r="13" spans="1:36" s="29" customFormat="1" ht="23.1" customHeight="1">
      <c r="A13" s="23"/>
      <c r="B13" s="2664"/>
      <c r="C13" s="2665"/>
      <c r="D13" s="2669" t="s">
        <v>14</v>
      </c>
      <c r="E13" s="2669"/>
      <c r="F13" s="2669"/>
      <c r="G13" s="2667" t="s">
        <v>15</v>
      </c>
      <c r="H13" s="2667"/>
      <c r="I13" s="2667"/>
      <c r="J13" s="2417"/>
      <c r="K13" s="2417"/>
      <c r="L13" s="2417"/>
      <c r="M13" s="2417"/>
      <c r="N13" s="2417"/>
      <c r="O13" s="2417"/>
      <c r="P13" s="89" t="s">
        <v>104</v>
      </c>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39"/>
      <c r="C14" s="58" t="s">
        <v>204</v>
      </c>
      <c r="D14" s="82">
        <v>104</v>
      </c>
      <c r="E14" s="44" t="s">
        <v>68</v>
      </c>
      <c r="F14" s="83">
        <v>10</v>
      </c>
      <c r="G14" s="82">
        <v>114</v>
      </c>
      <c r="H14" s="44" t="s">
        <v>68</v>
      </c>
      <c r="I14" s="83">
        <v>0</v>
      </c>
      <c r="J14" s="46"/>
      <c r="K14" s="217">
        <v>190</v>
      </c>
      <c r="L14" s="218">
        <v>1.8246315789473684</v>
      </c>
      <c r="M14" s="219"/>
      <c r="N14" s="220">
        <v>345.8</v>
      </c>
      <c r="O14" s="220"/>
      <c r="P14" s="218"/>
      <c r="Q14" s="221"/>
      <c r="R14" s="221">
        <f>N14</f>
        <v>345.8</v>
      </c>
      <c r="S14" s="54" t="s">
        <v>7</v>
      </c>
      <c r="T14" s="141" t="s">
        <v>83</v>
      </c>
      <c r="U14" s="39" t="s">
        <v>205</v>
      </c>
      <c r="V14" s="26"/>
      <c r="W14" s="26"/>
      <c r="X14" s="26"/>
      <c r="Y14" s="26"/>
      <c r="Z14" s="27"/>
    </row>
    <row r="15" spans="1:36" s="28" customFormat="1" ht="20.100000000000001" customHeight="1">
      <c r="A15" s="129"/>
      <c r="B15" s="139"/>
      <c r="C15" s="79" t="s">
        <v>210</v>
      </c>
      <c r="D15" s="156">
        <v>307</v>
      </c>
      <c r="E15" s="86" t="s">
        <v>68</v>
      </c>
      <c r="F15" s="155">
        <v>7</v>
      </c>
      <c r="G15" s="156">
        <v>308</v>
      </c>
      <c r="H15" s="86" t="s">
        <v>68</v>
      </c>
      <c r="I15" s="155">
        <v>0</v>
      </c>
      <c r="J15" s="138"/>
      <c r="K15" s="215"/>
      <c r="L15" s="134"/>
      <c r="M15" s="136"/>
      <c r="N15" s="135">
        <v>85.15</v>
      </c>
      <c r="O15" s="135"/>
      <c r="P15" s="134"/>
      <c r="Q15" s="133"/>
      <c r="R15" s="133">
        <f>N15</f>
        <v>85.15</v>
      </c>
      <c r="S15" s="132" t="s">
        <v>7</v>
      </c>
      <c r="T15" s="140" t="s">
        <v>93</v>
      </c>
      <c r="U15" s="39"/>
      <c r="V15" s="26"/>
      <c r="W15" s="26"/>
      <c r="X15" s="26"/>
      <c r="Y15" s="26"/>
      <c r="Z15" s="27"/>
      <c r="AA15" s="41"/>
      <c r="AB15" s="114"/>
    </row>
    <row r="16" spans="1:36" s="28" customFormat="1" ht="20.100000000000001" customHeight="1">
      <c r="A16" s="129"/>
      <c r="B16" s="139"/>
      <c r="C16" s="79"/>
      <c r="D16" s="85"/>
      <c r="E16" s="86"/>
      <c r="F16" s="87"/>
      <c r="G16" s="85"/>
      <c r="H16" s="86"/>
      <c r="I16" s="87"/>
      <c r="J16" s="138"/>
      <c r="K16" s="193"/>
      <c r="L16" s="134"/>
      <c r="M16" s="136"/>
      <c r="N16" s="135"/>
      <c r="O16" s="135"/>
      <c r="P16" s="134"/>
      <c r="Q16" s="133"/>
      <c r="R16" s="133"/>
      <c r="S16" s="132"/>
      <c r="T16" s="131"/>
      <c r="U16" s="130"/>
      <c r="V16" s="26"/>
      <c r="W16" s="26"/>
      <c r="X16" s="26"/>
      <c r="Y16" s="26"/>
      <c r="Z16" s="27"/>
      <c r="AA16" s="41"/>
      <c r="AB16" s="114"/>
    </row>
    <row r="17" spans="1:28" s="28" customFormat="1" ht="20.100000000000001" customHeight="1">
      <c r="A17" s="129"/>
      <c r="B17" s="139"/>
      <c r="C17" s="79"/>
      <c r="D17" s="85"/>
      <c r="E17" s="86"/>
      <c r="F17" s="87"/>
      <c r="G17" s="85"/>
      <c r="H17" s="86"/>
      <c r="I17" s="87"/>
      <c r="J17" s="138"/>
      <c r="K17" s="193"/>
      <c r="L17" s="134"/>
      <c r="M17" s="136"/>
      <c r="N17" s="135"/>
      <c r="O17" s="135"/>
      <c r="P17" s="134"/>
      <c r="Q17" s="133"/>
      <c r="R17" s="133"/>
      <c r="S17" s="132"/>
      <c r="T17" s="131"/>
      <c r="U17" s="130"/>
      <c r="V17" s="26"/>
      <c r="W17" s="26"/>
      <c r="X17" s="26"/>
      <c r="Y17" s="26"/>
      <c r="Z17" s="27"/>
      <c r="AA17" s="41"/>
      <c r="AB17" s="114"/>
    </row>
    <row r="18" spans="1:28" s="28" customFormat="1" ht="20.100000000000001" customHeight="1">
      <c r="A18" s="129"/>
      <c r="B18" s="139"/>
      <c r="C18" s="79"/>
      <c r="D18" s="85"/>
      <c r="E18" s="86"/>
      <c r="F18" s="87"/>
      <c r="G18" s="85"/>
      <c r="H18" s="86"/>
      <c r="I18" s="87"/>
      <c r="J18" s="138"/>
      <c r="K18" s="137"/>
      <c r="L18" s="134"/>
      <c r="M18" s="136"/>
      <c r="N18" s="135"/>
      <c r="O18" s="135"/>
      <c r="P18" s="134"/>
      <c r="Q18" s="133"/>
      <c r="R18" s="133"/>
      <c r="S18" s="132"/>
      <c r="T18" s="131"/>
      <c r="U18" s="130"/>
      <c r="V18" s="26"/>
      <c r="W18" s="26"/>
      <c r="X18" s="26"/>
      <c r="Y18" s="26"/>
      <c r="Z18" s="27"/>
      <c r="AA18" s="41"/>
      <c r="AB18" s="114"/>
    </row>
    <row r="19" spans="1:28" s="28" customFormat="1" ht="20.100000000000001" customHeight="1">
      <c r="A19" s="129"/>
      <c r="B19" s="139"/>
      <c r="C19" s="79"/>
      <c r="D19" s="85"/>
      <c r="E19" s="86"/>
      <c r="F19" s="87"/>
      <c r="G19" s="85"/>
      <c r="H19" s="86"/>
      <c r="I19" s="87"/>
      <c r="J19" s="138"/>
      <c r="K19" s="137"/>
      <c r="L19" s="134"/>
      <c r="M19" s="136"/>
      <c r="N19" s="135"/>
      <c r="O19" s="135"/>
      <c r="P19" s="134"/>
      <c r="Q19" s="133"/>
      <c r="R19" s="133"/>
      <c r="S19" s="132"/>
      <c r="T19" s="131"/>
      <c r="U19" s="130"/>
      <c r="V19" s="26"/>
      <c r="W19" s="26"/>
      <c r="X19" s="26"/>
      <c r="Y19" s="26"/>
      <c r="Z19" s="27"/>
      <c r="AA19" s="41"/>
      <c r="AB19" s="114"/>
    </row>
    <row r="20" spans="1:28" s="28" customFormat="1" ht="20.100000000000001" customHeight="1">
      <c r="A20" s="129"/>
      <c r="B20" s="139"/>
      <c r="C20" s="79"/>
      <c r="D20" s="85"/>
      <c r="E20" s="86"/>
      <c r="F20" s="87"/>
      <c r="G20" s="85"/>
      <c r="H20" s="86"/>
      <c r="I20" s="87"/>
      <c r="J20" s="138"/>
      <c r="K20" s="137"/>
      <c r="L20" s="134"/>
      <c r="M20" s="136"/>
      <c r="N20" s="135"/>
      <c r="O20" s="135"/>
      <c r="P20" s="134"/>
      <c r="Q20" s="133"/>
      <c r="R20" s="133"/>
      <c r="S20" s="132"/>
      <c r="T20" s="131"/>
      <c r="U20" s="130"/>
      <c r="V20" s="26"/>
      <c r="W20" s="26"/>
      <c r="X20" s="26"/>
      <c r="Y20" s="26"/>
      <c r="Z20" s="27"/>
      <c r="AA20" s="41"/>
      <c r="AB20" s="114"/>
    </row>
    <row r="21" spans="1:28" s="28" customFormat="1" ht="20.100000000000001" customHeight="1">
      <c r="A21" s="129"/>
      <c r="B21" s="139"/>
      <c r="C21" s="79"/>
      <c r="D21" s="85"/>
      <c r="E21" s="86"/>
      <c r="F21" s="87"/>
      <c r="G21" s="85"/>
      <c r="H21" s="86"/>
      <c r="I21" s="87"/>
      <c r="J21" s="138"/>
      <c r="K21" s="137"/>
      <c r="L21" s="134"/>
      <c r="M21" s="136"/>
      <c r="N21" s="135"/>
      <c r="O21" s="135"/>
      <c r="P21" s="134"/>
      <c r="Q21" s="133"/>
      <c r="R21" s="133"/>
      <c r="S21" s="132"/>
      <c r="T21" s="131"/>
      <c r="U21" s="130"/>
      <c r="V21" s="26"/>
      <c r="W21" s="26"/>
      <c r="X21" s="26"/>
      <c r="Y21" s="26"/>
      <c r="Z21" s="27"/>
      <c r="AA21" s="41"/>
      <c r="AB21" s="114"/>
    </row>
    <row r="22" spans="1:28" s="28" customFormat="1" ht="20.100000000000001" customHeight="1">
      <c r="A22" s="129"/>
      <c r="B22" s="139"/>
      <c r="C22" s="79"/>
      <c r="D22" s="85"/>
      <c r="E22" s="86"/>
      <c r="F22" s="87"/>
      <c r="G22" s="85"/>
      <c r="H22" s="86"/>
      <c r="I22" s="87"/>
      <c r="J22" s="138"/>
      <c r="K22" s="137"/>
      <c r="L22" s="134"/>
      <c r="M22" s="136"/>
      <c r="N22" s="135"/>
      <c r="O22" s="135"/>
      <c r="P22" s="134"/>
      <c r="Q22" s="133"/>
      <c r="R22" s="133"/>
      <c r="S22" s="132"/>
      <c r="T22" s="131"/>
      <c r="U22" s="130"/>
      <c r="V22" s="26"/>
      <c r="W22" s="26"/>
      <c r="X22" s="26"/>
      <c r="Y22" s="26"/>
      <c r="Z22" s="27"/>
      <c r="AA22" s="41"/>
      <c r="AB22" s="114"/>
    </row>
    <row r="23" spans="1:28" s="28" customFormat="1" ht="20.100000000000001" customHeight="1">
      <c r="A23" s="129"/>
      <c r="B23" s="139"/>
      <c r="C23" s="79"/>
      <c r="D23" s="85"/>
      <c r="E23" s="86"/>
      <c r="F23" s="87"/>
      <c r="G23" s="85"/>
      <c r="H23" s="86"/>
      <c r="I23" s="87"/>
      <c r="J23" s="138"/>
      <c r="K23" s="137"/>
      <c r="L23" s="134"/>
      <c r="M23" s="136"/>
      <c r="N23" s="135"/>
      <c r="O23" s="135"/>
      <c r="P23" s="134"/>
      <c r="Q23" s="133"/>
      <c r="R23" s="133"/>
      <c r="S23" s="132"/>
      <c r="T23" s="131"/>
      <c r="U23" s="130"/>
      <c r="V23" s="26"/>
      <c r="W23" s="26"/>
      <c r="X23" s="26"/>
      <c r="Y23" s="26"/>
      <c r="Z23" s="27"/>
      <c r="AA23" s="41"/>
      <c r="AB23" s="114"/>
    </row>
    <row r="24" spans="1:28" s="28" customFormat="1" ht="20.100000000000001" customHeight="1">
      <c r="A24" s="129"/>
      <c r="B24" s="139"/>
      <c r="C24" s="79"/>
      <c r="D24" s="85"/>
      <c r="E24" s="86"/>
      <c r="F24" s="87"/>
      <c r="G24" s="85"/>
      <c r="H24" s="86"/>
      <c r="I24" s="87"/>
      <c r="J24" s="138"/>
      <c r="K24" s="137"/>
      <c r="L24" s="134"/>
      <c r="M24" s="136"/>
      <c r="N24" s="135"/>
      <c r="O24" s="135"/>
      <c r="P24" s="134"/>
      <c r="Q24" s="133"/>
      <c r="R24" s="133"/>
      <c r="S24" s="132"/>
      <c r="T24" s="131"/>
      <c r="U24" s="130"/>
      <c r="V24" s="26"/>
      <c r="W24" s="26"/>
      <c r="X24" s="26"/>
      <c r="Y24" s="26"/>
      <c r="Z24" s="27"/>
      <c r="AA24" s="41"/>
      <c r="AB24" s="114"/>
    </row>
    <row r="25" spans="1:28" s="28" customFormat="1" ht="20.100000000000001" customHeight="1">
      <c r="A25" s="129"/>
      <c r="B25" s="139"/>
      <c r="C25" s="79"/>
      <c r="D25" s="85"/>
      <c r="E25" s="86"/>
      <c r="F25" s="87"/>
      <c r="G25" s="85"/>
      <c r="H25" s="86"/>
      <c r="I25" s="87"/>
      <c r="J25" s="138"/>
      <c r="K25" s="137"/>
      <c r="L25" s="134"/>
      <c r="M25" s="136"/>
      <c r="N25" s="135"/>
      <c r="O25" s="135"/>
      <c r="P25" s="134"/>
      <c r="Q25" s="133"/>
      <c r="R25" s="133"/>
      <c r="S25" s="154"/>
      <c r="T25" s="153"/>
      <c r="U25" s="130"/>
      <c r="V25" s="26"/>
      <c r="W25" s="26"/>
      <c r="X25" s="26"/>
      <c r="Y25" s="26"/>
      <c r="Z25" s="27"/>
      <c r="AA25" s="41"/>
      <c r="AB25" s="114"/>
    </row>
    <row r="26" spans="1:28" s="28" customFormat="1" ht="20.100000000000001" customHeight="1">
      <c r="A26" s="129"/>
      <c r="B26" s="139"/>
      <c r="C26" s="79"/>
      <c r="D26" s="85"/>
      <c r="E26" s="86"/>
      <c r="F26" s="87"/>
      <c r="G26" s="85"/>
      <c r="H26" s="86"/>
      <c r="I26" s="87"/>
      <c r="J26" s="138"/>
      <c r="K26" s="137"/>
      <c r="L26" s="134"/>
      <c r="M26" s="136"/>
      <c r="N26" s="135"/>
      <c r="O26" s="135"/>
      <c r="P26" s="134"/>
      <c r="Q26" s="133"/>
      <c r="R26" s="133"/>
      <c r="S26" s="132"/>
      <c r="T26" s="131"/>
      <c r="U26" s="130"/>
      <c r="V26" s="26"/>
      <c r="W26" s="26"/>
      <c r="X26" s="26"/>
      <c r="Y26" s="26"/>
      <c r="Z26" s="27"/>
      <c r="AA26" s="41"/>
      <c r="AB26" s="114"/>
    </row>
    <row r="27" spans="1:28" s="28" customFormat="1" ht="20.100000000000001" customHeight="1">
      <c r="A27" s="129"/>
      <c r="B27" s="139"/>
      <c r="C27" s="79"/>
      <c r="D27" s="85"/>
      <c r="E27" s="86"/>
      <c r="F27" s="87"/>
      <c r="G27" s="85"/>
      <c r="H27" s="86"/>
      <c r="I27" s="87"/>
      <c r="J27" s="138"/>
      <c r="K27" s="137"/>
      <c r="L27" s="134"/>
      <c r="M27" s="136"/>
      <c r="N27" s="135"/>
      <c r="O27" s="135"/>
      <c r="P27" s="134"/>
      <c r="Q27" s="133"/>
      <c r="R27" s="133"/>
      <c r="S27" s="132"/>
      <c r="T27" s="131"/>
      <c r="U27" s="130"/>
      <c r="V27" s="26"/>
      <c r="W27" s="26"/>
      <c r="X27" s="26"/>
      <c r="Y27" s="26"/>
      <c r="Z27" s="27"/>
      <c r="AA27" s="41"/>
      <c r="AB27" s="114"/>
    </row>
    <row r="28" spans="1:28" s="28" customFormat="1" ht="20.100000000000001" customHeight="1">
      <c r="A28" s="129"/>
      <c r="B28" s="139"/>
      <c r="C28" s="79"/>
      <c r="D28" s="85"/>
      <c r="E28" s="86"/>
      <c r="F28" s="87"/>
      <c r="G28" s="85"/>
      <c r="H28" s="86"/>
      <c r="I28" s="87"/>
      <c r="J28" s="138"/>
      <c r="K28" s="137"/>
      <c r="L28" s="134"/>
      <c r="M28" s="136"/>
      <c r="N28" s="135"/>
      <c r="O28" s="135"/>
      <c r="P28" s="134"/>
      <c r="Q28" s="133"/>
      <c r="R28" s="133"/>
      <c r="S28" s="132"/>
      <c r="T28" s="131"/>
      <c r="U28" s="130"/>
      <c r="V28" s="26"/>
      <c r="W28" s="26"/>
      <c r="X28" s="26"/>
      <c r="Y28" s="26"/>
      <c r="Z28" s="27"/>
      <c r="AA28" s="41"/>
      <c r="AB28" s="114"/>
    </row>
    <row r="29" spans="1:28" s="28" customFormat="1" ht="20.100000000000001" customHeight="1">
      <c r="A29" s="129"/>
      <c r="B29" s="139"/>
      <c r="C29" s="79"/>
      <c r="D29" s="85"/>
      <c r="E29" s="86"/>
      <c r="F29" s="87"/>
      <c r="G29" s="85"/>
      <c r="H29" s="86"/>
      <c r="I29" s="87"/>
      <c r="J29" s="138"/>
      <c r="K29" s="137"/>
      <c r="L29" s="134"/>
      <c r="M29" s="136"/>
      <c r="N29" s="135"/>
      <c r="O29" s="135"/>
      <c r="P29" s="134"/>
      <c r="Q29" s="133"/>
      <c r="R29" s="133"/>
      <c r="S29" s="132"/>
      <c r="T29" s="131"/>
      <c r="U29" s="130"/>
      <c r="V29" s="26"/>
      <c r="W29" s="26"/>
      <c r="X29" s="26"/>
      <c r="Y29" s="26"/>
      <c r="Z29" s="27"/>
      <c r="AA29" s="41"/>
      <c r="AB29" s="114"/>
    </row>
    <row r="30" spans="1:28" s="28" customFormat="1" ht="20.100000000000001" customHeight="1">
      <c r="A30" s="129"/>
      <c r="B30" s="139"/>
      <c r="C30" s="79"/>
      <c r="D30" s="85"/>
      <c r="E30" s="86"/>
      <c r="F30" s="87"/>
      <c r="G30" s="85"/>
      <c r="H30" s="86"/>
      <c r="I30" s="87"/>
      <c r="J30" s="138"/>
      <c r="K30" s="137"/>
      <c r="L30" s="134"/>
      <c r="M30" s="136"/>
      <c r="N30" s="135"/>
      <c r="O30" s="135"/>
      <c r="P30" s="134"/>
      <c r="Q30" s="133"/>
      <c r="R30" s="133"/>
      <c r="S30" s="132"/>
      <c r="T30" s="131"/>
      <c r="U30" s="130"/>
      <c r="V30" s="26"/>
      <c r="W30" s="26"/>
      <c r="X30" s="26"/>
      <c r="Y30" s="26"/>
      <c r="Z30" s="27"/>
      <c r="AA30" s="41"/>
      <c r="AB30" s="114"/>
    </row>
    <row r="31" spans="1:28" s="28" customFormat="1" ht="20.100000000000001" customHeight="1">
      <c r="A31" s="129"/>
      <c r="B31" s="139"/>
      <c r="C31" s="79"/>
      <c r="D31" s="85"/>
      <c r="E31" s="86"/>
      <c r="F31" s="87"/>
      <c r="G31" s="85"/>
      <c r="H31" s="86"/>
      <c r="I31" s="87"/>
      <c r="J31" s="138"/>
      <c r="K31" s="137"/>
      <c r="L31" s="134"/>
      <c r="M31" s="136"/>
      <c r="N31" s="135"/>
      <c r="O31" s="135"/>
      <c r="P31" s="134"/>
      <c r="Q31" s="133"/>
      <c r="R31" s="133"/>
      <c r="S31" s="132"/>
      <c r="T31" s="131"/>
      <c r="U31" s="130"/>
      <c r="V31" s="26"/>
      <c r="W31" s="26"/>
      <c r="X31" s="26"/>
      <c r="Y31" s="26"/>
      <c r="Z31" s="27"/>
      <c r="AA31" s="41"/>
      <c r="AB31" s="114"/>
    </row>
    <row r="32" spans="1:28" s="28" customFormat="1" ht="20.100000000000001" customHeight="1">
      <c r="A32" s="129"/>
      <c r="B32" s="139"/>
      <c r="C32" s="79"/>
      <c r="D32" s="85"/>
      <c r="E32" s="86"/>
      <c r="F32" s="87"/>
      <c r="G32" s="85"/>
      <c r="H32" s="86"/>
      <c r="I32" s="87"/>
      <c r="J32" s="138"/>
      <c r="K32" s="137"/>
      <c r="L32" s="134"/>
      <c r="M32" s="136"/>
      <c r="N32" s="135"/>
      <c r="O32" s="135"/>
      <c r="P32" s="134"/>
      <c r="Q32" s="133"/>
      <c r="R32" s="133"/>
      <c r="S32" s="132"/>
      <c r="T32" s="131"/>
      <c r="U32" s="130"/>
      <c r="V32" s="26"/>
      <c r="W32" s="26"/>
      <c r="X32" s="26"/>
      <c r="Y32" s="26"/>
      <c r="Z32" s="27"/>
      <c r="AA32" s="41"/>
      <c r="AB32" s="114"/>
    </row>
    <row r="33" spans="1:28" s="28" customFormat="1" ht="20.100000000000001" customHeight="1">
      <c r="A33" s="129"/>
      <c r="B33" s="139"/>
      <c r="C33" s="79"/>
      <c r="D33" s="85"/>
      <c r="E33" s="86"/>
      <c r="F33" s="87"/>
      <c r="G33" s="85"/>
      <c r="H33" s="86"/>
      <c r="I33" s="87"/>
      <c r="J33" s="138"/>
      <c r="K33" s="137"/>
      <c r="L33" s="134"/>
      <c r="M33" s="136"/>
      <c r="N33" s="135"/>
      <c r="O33" s="135"/>
      <c r="P33" s="134"/>
      <c r="Q33" s="133"/>
      <c r="R33" s="133"/>
      <c r="S33" s="132"/>
      <c r="T33" s="131"/>
      <c r="U33" s="130"/>
      <c r="V33" s="26"/>
      <c r="W33" s="26"/>
      <c r="X33" s="26"/>
      <c r="Y33" s="26"/>
      <c r="Z33" s="27"/>
      <c r="AA33" s="41"/>
      <c r="AB33" s="114"/>
    </row>
    <row r="34" spans="1:28" s="28" customFormat="1" ht="20.100000000000001" customHeight="1">
      <c r="A34" s="129"/>
      <c r="B34" s="139"/>
      <c r="C34" s="79"/>
      <c r="D34" s="85"/>
      <c r="E34" s="86"/>
      <c r="F34" s="87"/>
      <c r="G34" s="85"/>
      <c r="H34" s="86"/>
      <c r="I34" s="87"/>
      <c r="J34" s="138"/>
      <c r="K34" s="137"/>
      <c r="L34" s="134"/>
      <c r="M34" s="136"/>
      <c r="N34" s="135"/>
      <c r="O34" s="135"/>
      <c r="P34" s="134"/>
      <c r="Q34" s="133"/>
      <c r="R34" s="133"/>
      <c r="S34" s="132"/>
      <c r="T34" s="131"/>
      <c r="U34" s="130"/>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133"/>
      <c r="R35" s="133"/>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133"/>
      <c r="R36" s="133"/>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133"/>
      <c r="R37" s="133"/>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28" customFormat="1" ht="20.100000000000001" customHeight="1">
      <c r="A48" s="129"/>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114"/>
    </row>
    <row r="49" spans="1:28" s="28" customFormat="1" ht="20.100000000000001" customHeight="1">
      <c r="A49" s="129"/>
      <c r="B49" s="128"/>
      <c r="C49" s="127"/>
      <c r="D49" s="126"/>
      <c r="E49" s="125"/>
      <c r="F49" s="124"/>
      <c r="G49" s="126"/>
      <c r="H49" s="125"/>
      <c r="I49" s="124"/>
      <c r="J49" s="123"/>
      <c r="K49" s="122"/>
      <c r="L49" s="119"/>
      <c r="M49" s="121"/>
      <c r="N49" s="120"/>
      <c r="O49" s="120"/>
      <c r="P49" s="119"/>
      <c r="Q49" s="118"/>
      <c r="R49" s="118"/>
      <c r="S49" s="117"/>
      <c r="T49" s="116"/>
      <c r="U49" s="115"/>
      <c r="V49" s="26"/>
      <c r="W49" s="26"/>
      <c r="X49" s="26"/>
      <c r="Y49" s="26"/>
      <c r="Z49" s="27"/>
      <c r="AA49" s="41"/>
      <c r="AB49" s="114"/>
    </row>
    <row r="50" spans="1:28" ht="20.100000000000001" customHeight="1">
      <c r="B50" s="109"/>
      <c r="C50" s="113"/>
      <c r="D50" s="2670" t="s">
        <v>18</v>
      </c>
      <c r="E50" s="2671"/>
      <c r="F50" s="2671"/>
      <c r="G50" s="2671"/>
      <c r="H50" s="2671"/>
      <c r="I50" s="2672"/>
      <c r="J50" s="2694" t="e">
        <f>VLOOKUP(A52,#REF!,6,FALSE)</f>
        <v>#REF!</v>
      </c>
      <c r="K50" s="2695"/>
      <c r="L50" s="112" t="s">
        <v>7</v>
      </c>
      <c r="M50" s="2696" t="s">
        <v>19</v>
      </c>
      <c r="N50" s="2697"/>
      <c r="O50" s="2697"/>
      <c r="P50" s="2697"/>
      <c r="Q50" s="2698"/>
      <c r="R50" s="111">
        <f>SUM(R14:R49)</f>
        <v>430.95000000000005</v>
      </c>
      <c r="S50" s="110" t="str">
        <f>L50</f>
        <v>m²</v>
      </c>
      <c r="T50" s="106"/>
      <c r="U50" s="105"/>
    </row>
    <row r="51" spans="1:28" ht="20.100000000000001" customHeight="1">
      <c r="B51" s="109"/>
      <c r="C51" s="72"/>
      <c r="D51" s="2746" t="s">
        <v>20</v>
      </c>
      <c r="E51" s="2679"/>
      <c r="F51" s="2679"/>
      <c r="G51" s="2679"/>
      <c r="H51" s="2679"/>
      <c r="I51" s="2680"/>
      <c r="J51" s="2747" t="e">
        <f>R50/J50</f>
        <v>#REF!</v>
      </c>
      <c r="K51" s="2700"/>
      <c r="L51" s="2703"/>
      <c r="M51" s="2737" t="s">
        <v>21</v>
      </c>
      <c r="N51" s="2738"/>
      <c r="O51" s="2738"/>
      <c r="P51" s="2738"/>
      <c r="Q51" s="2739"/>
      <c r="R51" s="108">
        <f>SUM(R14)</f>
        <v>345.8</v>
      </c>
      <c r="S51" s="107" t="str">
        <f>L50</f>
        <v>m²</v>
      </c>
      <c r="T51" s="106"/>
      <c r="U51" s="105"/>
    </row>
    <row r="52" spans="1:28" ht="20.100000000000001" customHeight="1">
      <c r="A52" s="12" t="s">
        <v>181</v>
      </c>
      <c r="B52" s="213"/>
      <c r="C52" s="73"/>
      <c r="D52" s="2670"/>
      <c r="E52" s="2671"/>
      <c r="F52" s="2671"/>
      <c r="G52" s="2671"/>
      <c r="H52" s="2671"/>
      <c r="I52" s="2672"/>
      <c r="J52" s="2701"/>
      <c r="K52" s="2702"/>
      <c r="L52" s="2704"/>
      <c r="M52" s="2737" t="s">
        <v>22</v>
      </c>
      <c r="N52" s="2738"/>
      <c r="O52" s="2738"/>
      <c r="P52" s="2738"/>
      <c r="Q52" s="2739"/>
      <c r="R52" s="103">
        <v>0</v>
      </c>
      <c r="S52" s="102" t="str">
        <f>L50</f>
        <v>m²</v>
      </c>
      <c r="T52" s="101"/>
      <c r="U52" s="100"/>
    </row>
  </sheetData>
  <mergeCells count="33">
    <mergeCell ref="T8:U8"/>
    <mergeCell ref="B1:U5"/>
    <mergeCell ref="V5:AA5"/>
    <mergeCell ref="B6:I6"/>
    <mergeCell ref="J6:O6"/>
    <mergeCell ref="P6:U6"/>
    <mergeCell ref="T9:U9"/>
    <mergeCell ref="T10:U10"/>
    <mergeCell ref="C11:L11"/>
    <mergeCell ref="B12:B13"/>
    <mergeCell ref="C12:C13"/>
    <mergeCell ref="D12:I12"/>
    <mergeCell ref="J12:J13"/>
    <mergeCell ref="K12:K13"/>
    <mergeCell ref="L12:L13"/>
    <mergeCell ref="M12:M13"/>
    <mergeCell ref="U12:U13"/>
    <mergeCell ref="D13:F13"/>
    <mergeCell ref="G13:I13"/>
    <mergeCell ref="R12:R13"/>
    <mergeCell ref="S12:S13"/>
    <mergeCell ref="T12:T13"/>
    <mergeCell ref="D50:I50"/>
    <mergeCell ref="J50:K50"/>
    <mergeCell ref="M50:Q50"/>
    <mergeCell ref="N12:N13"/>
    <mergeCell ref="O12:O13"/>
    <mergeCell ref="Q12:Q13"/>
    <mergeCell ref="D51:I52"/>
    <mergeCell ref="J51:K52"/>
    <mergeCell ref="L51:L52"/>
    <mergeCell ref="M51:Q51"/>
    <mergeCell ref="M52:Q52"/>
  </mergeCells>
  <conditionalFormatting sqref="J51:K52">
    <cfRule type="cellIs" dxfId="9" priority="1" operator="greaterThanOrEqual">
      <formula>1</formula>
    </cfRule>
    <cfRule type="cellIs" dxfId="8" priority="2" operator="greaterThan">
      <formula>100%</formula>
    </cfRule>
  </conditionalFormatting>
  <printOptions horizontalCentered="1"/>
  <pageMargins left="0.39370078740157483" right="0.39370078740157483" top="0.78740157480314965" bottom="0.78740157480314965" header="0" footer="0.19685039370078741"/>
  <pageSetup paperSize="9" scale="47" firstPageNumber="47" fitToHeight="0" orientation="landscape" useFirstPageNumber="1" r:id="rId1"/>
  <headerFooter>
    <oddFooter>&amp;L__________________________________________
Valdemar Júnior Moreira
Engº Residente - &amp;"-,Itálico"Consórcio EPV&amp;C&amp;P&amp;R__________________________________________
Paulo Maurício Ferrari
Engº Fiscal - &amp;"-,Itálico"SR-U</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334F21"/>
    <pageSetUpPr fitToPage="1"/>
  </sheetPr>
  <dimension ref="A1:AJ52"/>
  <sheetViews>
    <sheetView showGridLines="0" view="pageBreakPreview" topLeftCell="A7" zoomScale="60" zoomScaleNormal="100" workbookViewId="0">
      <selection activeCell="P38" sqref="P38"/>
    </sheetView>
  </sheetViews>
  <sheetFormatPr defaultRowHeight="12.75"/>
  <cols>
    <col min="1" max="1" width="9.140625" style="12"/>
    <col min="2" max="2" width="14.2851562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5" width="13.5703125" style="8" customWidth="1"/>
    <col min="16" max="16" width="14.5703125" style="8" customWidth="1"/>
    <col min="17" max="18" width="13.5703125" style="8" customWidth="1"/>
    <col min="19" max="19" width="9" style="8" customWidth="1"/>
    <col min="20" max="20" width="12.5703125" style="8" customWidth="1"/>
    <col min="21" max="21" width="38.140625" style="8" bestFit="1" customWidth="1"/>
    <col min="22" max="27" width="9.140625" style="8"/>
    <col min="28" max="28" width="12.7109375" style="15" customWidth="1"/>
    <col min="29" max="16384" width="9.140625" style="8"/>
  </cols>
  <sheetData>
    <row r="1" spans="1:36" ht="18.75" customHeight="1">
      <c r="B1" s="2652" t="s">
        <v>115</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655" t="s">
        <v>9</v>
      </c>
      <c r="C6" s="2656"/>
      <c r="D6" s="2656"/>
      <c r="E6" s="2656"/>
      <c r="F6" s="2656"/>
      <c r="G6" s="2656"/>
      <c r="H6" s="2656"/>
      <c r="I6" s="2748"/>
      <c r="J6" s="2749" t="s">
        <v>10</v>
      </c>
      <c r="K6" s="2750"/>
      <c r="L6" s="2750"/>
      <c r="M6" s="2750"/>
      <c r="N6" s="2750"/>
      <c r="O6" s="2750"/>
      <c r="P6" s="2750"/>
      <c r="Q6" s="2750"/>
      <c r="R6" s="2750"/>
      <c r="S6" s="2750"/>
      <c r="T6" s="2750"/>
      <c r="U6" s="2751"/>
      <c r="V6" s="99"/>
      <c r="W6" s="99"/>
      <c r="X6" s="99"/>
      <c r="Y6" s="99"/>
      <c r="Z6" s="99"/>
      <c r="AA6" s="99"/>
      <c r="AB6" s="17"/>
    </row>
    <row r="7" spans="1:36" s="20" customFormat="1" ht="15.75">
      <c r="A7" s="19"/>
      <c r="B7" s="152" t="s">
        <v>96</v>
      </c>
      <c r="C7" s="149" t="e">
        <f>#REF!</f>
        <v>#REF!</v>
      </c>
      <c r="D7" s="145"/>
      <c r="E7" s="92"/>
      <c r="F7" s="92"/>
      <c r="G7" s="145"/>
      <c r="H7" s="92"/>
      <c r="I7" s="92"/>
      <c r="J7" s="214" t="s">
        <v>114</v>
      </c>
      <c r="K7" s="145"/>
      <c r="L7" s="94"/>
      <c r="M7" s="93"/>
      <c r="N7" s="93"/>
      <c r="O7" s="93"/>
      <c r="P7" s="93"/>
      <c r="Q7" s="93"/>
      <c r="R7" s="93"/>
      <c r="S7" s="94"/>
      <c r="T7" s="94"/>
      <c r="U7" s="95"/>
      <c r="AB7" s="21"/>
    </row>
    <row r="8" spans="1:36" s="20" customFormat="1" ht="15.75">
      <c r="A8" s="19"/>
      <c r="B8" s="148" t="s">
        <v>79</v>
      </c>
      <c r="C8" s="149" t="e">
        <f>#REF!</f>
        <v>#REF!</v>
      </c>
      <c r="D8" s="145"/>
      <c r="E8" s="92"/>
      <c r="F8" s="92"/>
      <c r="G8" s="145"/>
      <c r="H8" s="92"/>
      <c r="I8" s="92"/>
      <c r="J8" s="146" t="s">
        <v>276</v>
      </c>
      <c r="K8" s="145"/>
      <c r="L8" s="145"/>
      <c r="M8" s="145"/>
      <c r="N8" s="96"/>
      <c r="O8" s="96"/>
      <c r="P8" s="96"/>
      <c r="Q8" s="96"/>
      <c r="R8" s="96"/>
      <c r="S8" s="145"/>
      <c r="T8" s="2647"/>
      <c r="U8" s="2648"/>
      <c r="AB8" s="21"/>
    </row>
    <row r="9" spans="1:36" s="20" customFormat="1" ht="15.75">
      <c r="A9" s="19"/>
      <c r="B9" s="148" t="s">
        <v>11</v>
      </c>
      <c r="C9" s="206" t="e">
        <f>VLOOKUP(B9,[0]!_xlnm.Print_Area,2,FALSE)</f>
        <v>#REF!</v>
      </c>
      <c r="D9" s="145"/>
      <c r="E9" s="92"/>
      <c r="F9" s="92"/>
      <c r="G9" s="145"/>
      <c r="H9" s="92"/>
      <c r="I9" s="92"/>
      <c r="J9" s="146" t="s">
        <v>277</v>
      </c>
      <c r="K9" s="145"/>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206" t="e">
        <f>VLOOKUP(B10,[0]!_xlnm.Print_Area,2,FALSE)</f>
        <v>#REF!</v>
      </c>
      <c r="D10" s="145"/>
      <c r="E10" s="92"/>
      <c r="F10" s="92"/>
      <c r="G10" s="145"/>
      <c r="H10" s="92"/>
      <c r="I10" s="92"/>
      <c r="J10" s="146" t="s">
        <v>278</v>
      </c>
      <c r="K10" s="145"/>
      <c r="L10" s="92"/>
      <c r="M10" s="92"/>
      <c r="N10" s="92"/>
      <c r="O10" s="92"/>
      <c r="P10" s="202"/>
      <c r="Q10" s="202"/>
      <c r="R10" s="202"/>
      <c r="S10" s="202"/>
      <c r="T10" s="2660"/>
      <c r="U10" s="2661"/>
      <c r="AA10" s="22"/>
      <c r="AB10" s="22"/>
      <c r="AC10" s="22"/>
      <c r="AD10" s="22"/>
      <c r="AE10" s="22"/>
      <c r="AF10" s="22"/>
      <c r="AG10" s="22"/>
      <c r="AH10" s="22"/>
      <c r="AI10" s="22"/>
      <c r="AJ10" s="22"/>
    </row>
    <row r="11" spans="1:36" s="29" customFormat="1" ht="21" customHeight="1">
      <c r="A11" s="23"/>
      <c r="B11" s="143" t="str">
        <f>LEFT(A52,1)</f>
        <v>9</v>
      </c>
      <c r="C11" s="2662" t="e">
        <f>VLOOKUP(B11,#REF!,3,FALSE)</f>
        <v>#REF!</v>
      </c>
      <c r="D11" s="2663"/>
      <c r="E11" s="2663"/>
      <c r="F11" s="2663"/>
      <c r="G11" s="2663"/>
      <c r="H11" s="2663"/>
      <c r="I11" s="2663"/>
      <c r="J11" s="2663"/>
      <c r="K11" s="2663"/>
      <c r="L11" s="2663"/>
      <c r="M11" s="207"/>
      <c r="N11" s="207"/>
      <c r="O11" s="207"/>
      <c r="P11" s="207"/>
      <c r="Q11" s="207"/>
      <c r="R11" s="207"/>
      <c r="S11" s="207"/>
      <c r="T11" s="207"/>
      <c r="U11" s="208"/>
      <c r="V11" s="26"/>
      <c r="W11" s="26"/>
      <c r="X11" s="26"/>
      <c r="Y11" s="26"/>
      <c r="Z11" s="27"/>
      <c r="AA11" s="28"/>
      <c r="AB11" s="28"/>
      <c r="AC11" s="28"/>
      <c r="AD11" s="28"/>
      <c r="AE11" s="28"/>
      <c r="AF11" s="28"/>
      <c r="AG11" s="28"/>
      <c r="AH11" s="28"/>
      <c r="AI11" s="28"/>
      <c r="AJ11" s="28"/>
    </row>
    <row r="12" spans="1:36" s="29" customFormat="1" ht="25.5" customHeight="1">
      <c r="A12" s="23"/>
      <c r="B12" s="2664" t="e">
        <f>VLOOKUP(A52,#REF!,2,FALSE)</f>
        <v>#REF!</v>
      </c>
      <c r="C12" s="2665" t="e">
        <f>VLOOKUP(A52,#REF!,3,FALSE)</f>
        <v>#REF!</v>
      </c>
      <c r="D12" s="2666" t="s">
        <v>97</v>
      </c>
      <c r="E12" s="2666"/>
      <c r="F12" s="2666"/>
      <c r="G12" s="2666"/>
      <c r="H12" s="2666"/>
      <c r="I12" s="2666"/>
      <c r="J12" s="2668" t="s">
        <v>98</v>
      </c>
      <c r="K12" s="2668" t="s">
        <v>102</v>
      </c>
      <c r="L12" s="2668" t="s">
        <v>103</v>
      </c>
      <c r="M12" s="2668" t="s">
        <v>113</v>
      </c>
      <c r="N12" s="2668" t="s">
        <v>112</v>
      </c>
      <c r="O12" s="2668" t="s">
        <v>107</v>
      </c>
      <c r="P12" s="192" t="s">
        <v>153</v>
      </c>
      <c r="Q12" s="2668" t="s">
        <v>16</v>
      </c>
      <c r="R12" s="2668" t="s">
        <v>2</v>
      </c>
      <c r="S12" s="2668" t="s">
        <v>99</v>
      </c>
      <c r="T12" s="2668" t="s">
        <v>17</v>
      </c>
      <c r="U12" s="2667"/>
      <c r="V12" s="26"/>
      <c r="W12" s="26"/>
      <c r="X12" s="26"/>
      <c r="Y12" s="26"/>
      <c r="Z12" s="27"/>
      <c r="AA12" s="28"/>
      <c r="AB12" s="28"/>
      <c r="AC12" s="28"/>
      <c r="AD12" s="28"/>
      <c r="AE12" s="28"/>
      <c r="AF12" s="28"/>
      <c r="AG12" s="28"/>
      <c r="AH12" s="28"/>
      <c r="AI12" s="28"/>
      <c r="AJ12" s="28"/>
    </row>
    <row r="13" spans="1:36" s="29" customFormat="1" ht="19.5" customHeight="1">
      <c r="A13" s="23"/>
      <c r="B13" s="2664"/>
      <c r="C13" s="2665"/>
      <c r="D13" s="2669" t="s">
        <v>14</v>
      </c>
      <c r="E13" s="2669"/>
      <c r="F13" s="2669"/>
      <c r="G13" s="2667" t="s">
        <v>15</v>
      </c>
      <c r="H13" s="2667"/>
      <c r="I13" s="2667"/>
      <c r="J13" s="2417"/>
      <c r="K13" s="2417"/>
      <c r="L13" s="2417"/>
      <c r="M13" s="2417"/>
      <c r="N13" s="2417"/>
      <c r="O13" s="2417"/>
      <c r="P13" s="89" t="s">
        <v>104</v>
      </c>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39"/>
      <c r="C14" s="58" t="s">
        <v>204</v>
      </c>
      <c r="D14" s="82">
        <v>104</v>
      </c>
      <c r="E14" s="44" t="s">
        <v>68</v>
      </c>
      <c r="F14" s="83">
        <v>0</v>
      </c>
      <c r="G14" s="82">
        <v>114</v>
      </c>
      <c r="H14" s="44" t="s">
        <v>68</v>
      </c>
      <c r="I14" s="83">
        <v>0</v>
      </c>
      <c r="J14" s="46"/>
      <c r="K14" s="35">
        <v>190</v>
      </c>
      <c r="L14" s="48">
        <v>1.82</v>
      </c>
      <c r="M14" s="49">
        <v>0.2</v>
      </c>
      <c r="N14" s="50">
        <v>345.8</v>
      </c>
      <c r="O14" s="50">
        <f>M14*N14</f>
        <v>69.160000000000011</v>
      </c>
      <c r="P14" s="48"/>
      <c r="Q14" s="53"/>
      <c r="R14" s="53">
        <f>O14</f>
        <v>69.160000000000011</v>
      </c>
      <c r="S14" s="54" t="s">
        <v>5</v>
      </c>
      <c r="T14" s="141" t="s">
        <v>83</v>
      </c>
      <c r="U14" s="39"/>
      <c r="V14" s="26"/>
      <c r="W14" s="26"/>
      <c r="X14" s="26"/>
      <c r="Y14" s="26"/>
      <c r="Z14" s="27"/>
    </row>
    <row r="15" spans="1:36" s="28" customFormat="1" ht="20.100000000000001" customHeight="1">
      <c r="A15" s="129"/>
      <c r="B15" s="139"/>
      <c r="C15" s="79" t="s">
        <v>211</v>
      </c>
      <c r="D15" s="156">
        <v>307</v>
      </c>
      <c r="E15" s="86" t="s">
        <v>68</v>
      </c>
      <c r="F15" s="155">
        <v>7</v>
      </c>
      <c r="G15" s="156">
        <v>308</v>
      </c>
      <c r="H15" s="86" t="s">
        <v>68</v>
      </c>
      <c r="I15" s="155">
        <v>0</v>
      </c>
      <c r="J15" s="138"/>
      <c r="K15" s="215"/>
      <c r="L15" s="134"/>
      <c r="M15" s="136">
        <v>0.3</v>
      </c>
      <c r="N15" s="135">
        <v>85.15</v>
      </c>
      <c r="O15" s="135">
        <f>M15*N15</f>
        <v>25.545000000000002</v>
      </c>
      <c r="P15" s="134"/>
      <c r="Q15" s="133"/>
      <c r="R15" s="133"/>
      <c r="S15" s="132" t="s">
        <v>5</v>
      </c>
      <c r="T15" s="140" t="s">
        <v>93</v>
      </c>
      <c r="U15" s="212"/>
      <c r="V15" s="26"/>
      <c r="W15" s="26"/>
      <c r="X15" s="26"/>
      <c r="Y15" s="26"/>
      <c r="Z15" s="27"/>
      <c r="AA15" s="41"/>
      <c r="AB15" s="114"/>
    </row>
    <row r="16" spans="1:36" s="28" customFormat="1" ht="20.100000000000001" customHeight="1">
      <c r="A16" s="129"/>
      <c r="B16" s="139"/>
      <c r="C16" s="79"/>
      <c r="D16" s="85"/>
      <c r="E16" s="86"/>
      <c r="F16" s="87"/>
      <c r="G16" s="85"/>
      <c r="H16" s="86"/>
      <c r="I16" s="87"/>
      <c r="J16" s="138"/>
      <c r="K16" s="193"/>
      <c r="L16" s="134"/>
      <c r="M16" s="136"/>
      <c r="N16" s="135"/>
      <c r="O16" s="135"/>
      <c r="P16" s="134"/>
      <c r="Q16" s="133"/>
      <c r="R16" s="133"/>
      <c r="S16" s="132"/>
      <c r="T16" s="131"/>
      <c r="U16" s="130"/>
      <c r="V16" s="26"/>
      <c r="W16" s="26"/>
      <c r="X16" s="26"/>
      <c r="Y16" s="26"/>
      <c r="Z16" s="27"/>
      <c r="AA16" s="41"/>
      <c r="AB16" s="114"/>
    </row>
    <row r="17" spans="1:28" s="28" customFormat="1" ht="20.100000000000001" customHeight="1">
      <c r="A17" s="129"/>
      <c r="B17" s="139"/>
      <c r="C17" s="79"/>
      <c r="D17" s="85"/>
      <c r="E17" s="86"/>
      <c r="F17" s="87"/>
      <c r="G17" s="85"/>
      <c r="H17" s="86"/>
      <c r="I17" s="87"/>
      <c r="J17" s="138"/>
      <c r="K17" s="193"/>
      <c r="L17" s="134"/>
      <c r="M17" s="136"/>
      <c r="N17" s="135"/>
      <c r="O17" s="135"/>
      <c r="P17" s="134"/>
      <c r="Q17" s="133"/>
      <c r="R17" s="133"/>
      <c r="S17" s="132"/>
      <c r="T17" s="131"/>
      <c r="U17" s="130"/>
      <c r="V17" s="26"/>
      <c r="W17" s="26"/>
      <c r="X17" s="26"/>
      <c r="Y17" s="26"/>
      <c r="Z17" s="27"/>
      <c r="AA17" s="41"/>
      <c r="AB17" s="114"/>
    </row>
    <row r="18" spans="1:28" s="28" customFormat="1" ht="20.100000000000001" customHeight="1">
      <c r="A18" s="129"/>
      <c r="B18" s="139"/>
      <c r="C18" s="79"/>
      <c r="D18" s="85"/>
      <c r="E18" s="86"/>
      <c r="F18" s="87"/>
      <c r="G18" s="85"/>
      <c r="H18" s="86"/>
      <c r="I18" s="87"/>
      <c r="J18" s="138"/>
      <c r="K18" s="137"/>
      <c r="L18" s="134"/>
      <c r="M18" s="136"/>
      <c r="N18" s="135"/>
      <c r="O18" s="135"/>
      <c r="P18" s="134"/>
      <c r="Q18" s="133"/>
      <c r="R18" s="133"/>
      <c r="S18" s="132"/>
      <c r="T18" s="131"/>
      <c r="U18" s="130"/>
      <c r="V18" s="26"/>
      <c r="W18" s="26"/>
      <c r="X18" s="26"/>
      <c r="Y18" s="26"/>
      <c r="Z18" s="27"/>
      <c r="AA18" s="41"/>
      <c r="AB18" s="114"/>
    </row>
    <row r="19" spans="1:28" s="28" customFormat="1" ht="20.100000000000001" customHeight="1">
      <c r="A19" s="129"/>
      <c r="B19" s="139"/>
      <c r="C19" s="79"/>
      <c r="D19" s="85"/>
      <c r="E19" s="86"/>
      <c r="F19" s="87"/>
      <c r="G19" s="85"/>
      <c r="H19" s="86"/>
      <c r="I19" s="87"/>
      <c r="J19" s="138"/>
      <c r="K19" s="137"/>
      <c r="L19" s="134"/>
      <c r="M19" s="136"/>
      <c r="N19" s="135"/>
      <c r="O19" s="135"/>
      <c r="P19" s="134"/>
      <c r="Q19" s="133"/>
      <c r="R19" s="133"/>
      <c r="S19" s="132"/>
      <c r="T19" s="131"/>
      <c r="U19" s="130"/>
      <c r="V19" s="26"/>
      <c r="W19" s="26"/>
      <c r="X19" s="26"/>
      <c r="Y19" s="26"/>
      <c r="Z19" s="27"/>
      <c r="AA19" s="41"/>
      <c r="AB19" s="114"/>
    </row>
    <row r="20" spans="1:28" s="28" customFormat="1" ht="20.100000000000001" customHeight="1">
      <c r="A20" s="129"/>
      <c r="B20" s="139"/>
      <c r="C20" s="79"/>
      <c r="D20" s="85"/>
      <c r="E20" s="86"/>
      <c r="F20" s="87"/>
      <c r="G20" s="85"/>
      <c r="H20" s="86"/>
      <c r="I20" s="87"/>
      <c r="J20" s="138"/>
      <c r="K20" s="137"/>
      <c r="L20" s="134"/>
      <c r="M20" s="136"/>
      <c r="N20" s="135"/>
      <c r="O20" s="135"/>
      <c r="P20" s="134"/>
      <c r="Q20" s="133"/>
      <c r="R20" s="133"/>
      <c r="S20" s="132"/>
      <c r="T20" s="131"/>
      <c r="U20" s="130"/>
      <c r="V20" s="26"/>
      <c r="W20" s="26"/>
      <c r="X20" s="26"/>
      <c r="Y20" s="26"/>
      <c r="Z20" s="27"/>
      <c r="AA20" s="41"/>
      <c r="AB20" s="114"/>
    </row>
    <row r="21" spans="1:28" s="28" customFormat="1" ht="20.100000000000001" customHeight="1">
      <c r="A21" s="129"/>
      <c r="B21" s="139"/>
      <c r="C21" s="79"/>
      <c r="D21" s="85"/>
      <c r="E21" s="86"/>
      <c r="F21" s="87"/>
      <c r="G21" s="85"/>
      <c r="H21" s="86"/>
      <c r="I21" s="87"/>
      <c r="J21" s="138"/>
      <c r="K21" s="137"/>
      <c r="L21" s="134"/>
      <c r="M21" s="136"/>
      <c r="N21" s="135"/>
      <c r="O21" s="135"/>
      <c r="P21" s="134"/>
      <c r="Q21" s="133"/>
      <c r="R21" s="133"/>
      <c r="S21" s="132"/>
      <c r="T21" s="131"/>
      <c r="U21" s="130"/>
      <c r="V21" s="26"/>
      <c r="W21" s="26"/>
      <c r="X21" s="26"/>
      <c r="Y21" s="26"/>
      <c r="Z21" s="27"/>
      <c r="AA21" s="41"/>
      <c r="AB21" s="114"/>
    </row>
    <row r="22" spans="1:28" s="28" customFormat="1" ht="20.100000000000001" customHeight="1">
      <c r="A22" s="129"/>
      <c r="B22" s="139"/>
      <c r="C22" s="79"/>
      <c r="D22" s="85"/>
      <c r="E22" s="86"/>
      <c r="F22" s="87"/>
      <c r="G22" s="85"/>
      <c r="H22" s="86"/>
      <c r="I22" s="87"/>
      <c r="J22" s="138"/>
      <c r="K22" s="137"/>
      <c r="L22" s="134"/>
      <c r="M22" s="136"/>
      <c r="N22" s="135"/>
      <c r="O22" s="135"/>
      <c r="P22" s="134"/>
      <c r="Q22" s="133"/>
      <c r="R22" s="133"/>
      <c r="S22" s="132"/>
      <c r="T22" s="131"/>
      <c r="U22" s="130"/>
      <c r="V22" s="26"/>
      <c r="W22" s="26"/>
      <c r="X22" s="26"/>
      <c r="Y22" s="26"/>
      <c r="Z22" s="27"/>
      <c r="AA22" s="41"/>
      <c r="AB22" s="114"/>
    </row>
    <row r="23" spans="1:28" s="28" customFormat="1" ht="20.100000000000001" customHeight="1">
      <c r="A23" s="129"/>
      <c r="B23" s="139"/>
      <c r="C23" s="79"/>
      <c r="D23" s="85"/>
      <c r="E23" s="86"/>
      <c r="F23" s="87"/>
      <c r="G23" s="85"/>
      <c r="H23" s="86"/>
      <c r="I23" s="87"/>
      <c r="J23" s="138"/>
      <c r="K23" s="137"/>
      <c r="L23" s="134"/>
      <c r="M23" s="136"/>
      <c r="N23" s="135"/>
      <c r="O23" s="135"/>
      <c r="P23" s="134"/>
      <c r="Q23" s="133"/>
      <c r="R23" s="133"/>
      <c r="S23" s="132"/>
      <c r="T23" s="131"/>
      <c r="U23" s="130"/>
      <c r="V23" s="26"/>
      <c r="W23" s="26"/>
      <c r="X23" s="26"/>
      <c r="Y23" s="26"/>
      <c r="Z23" s="27"/>
      <c r="AA23" s="41"/>
      <c r="AB23" s="114"/>
    </row>
    <row r="24" spans="1:28" s="28" customFormat="1" ht="20.100000000000001" customHeight="1">
      <c r="A24" s="129"/>
      <c r="B24" s="139"/>
      <c r="C24" s="79"/>
      <c r="D24" s="85"/>
      <c r="E24" s="86"/>
      <c r="F24" s="87"/>
      <c r="G24" s="85"/>
      <c r="H24" s="86"/>
      <c r="I24" s="87"/>
      <c r="J24" s="138"/>
      <c r="K24" s="137"/>
      <c r="L24" s="134"/>
      <c r="M24" s="136"/>
      <c r="N24" s="135"/>
      <c r="O24" s="135"/>
      <c r="P24" s="134"/>
      <c r="Q24" s="133"/>
      <c r="R24" s="133"/>
      <c r="S24" s="132"/>
      <c r="T24" s="131"/>
      <c r="U24" s="130"/>
      <c r="V24" s="26"/>
      <c r="W24" s="26"/>
      <c r="X24" s="26"/>
      <c r="Y24" s="26"/>
      <c r="Z24" s="27"/>
      <c r="AA24" s="41"/>
      <c r="AB24" s="114"/>
    </row>
    <row r="25" spans="1:28" s="28" customFormat="1" ht="20.100000000000001" customHeight="1">
      <c r="A25" s="129"/>
      <c r="B25" s="139"/>
      <c r="C25" s="79"/>
      <c r="D25" s="85"/>
      <c r="E25" s="86"/>
      <c r="F25" s="87"/>
      <c r="G25" s="85"/>
      <c r="H25" s="86"/>
      <c r="I25" s="87"/>
      <c r="J25" s="138"/>
      <c r="K25" s="137"/>
      <c r="L25" s="134"/>
      <c r="M25" s="136"/>
      <c r="N25" s="135"/>
      <c r="O25" s="135"/>
      <c r="P25" s="134"/>
      <c r="Q25" s="133"/>
      <c r="R25" s="133"/>
      <c r="S25" s="154"/>
      <c r="T25" s="153"/>
      <c r="U25" s="130"/>
      <c r="V25" s="26"/>
      <c r="W25" s="26"/>
      <c r="X25" s="26"/>
      <c r="Y25" s="26"/>
      <c r="Z25" s="27"/>
      <c r="AA25" s="41"/>
      <c r="AB25" s="114"/>
    </row>
    <row r="26" spans="1:28" s="28" customFormat="1" ht="20.100000000000001" customHeight="1">
      <c r="A26" s="129"/>
      <c r="B26" s="139"/>
      <c r="C26" s="79"/>
      <c r="D26" s="85"/>
      <c r="E26" s="86"/>
      <c r="F26" s="87"/>
      <c r="G26" s="85"/>
      <c r="H26" s="86"/>
      <c r="I26" s="87"/>
      <c r="J26" s="138"/>
      <c r="K26" s="137"/>
      <c r="L26" s="134"/>
      <c r="M26" s="136"/>
      <c r="N26" s="135"/>
      <c r="O26" s="135"/>
      <c r="P26" s="134"/>
      <c r="Q26" s="133"/>
      <c r="R26" s="133"/>
      <c r="S26" s="132"/>
      <c r="T26" s="131"/>
      <c r="U26" s="130"/>
      <c r="V26" s="26"/>
      <c r="W26" s="26"/>
      <c r="X26" s="26"/>
      <c r="Y26" s="26"/>
      <c r="Z26" s="27"/>
      <c r="AA26" s="41"/>
      <c r="AB26" s="114"/>
    </row>
    <row r="27" spans="1:28" s="28" customFormat="1" ht="20.100000000000001" customHeight="1">
      <c r="A27" s="129"/>
      <c r="B27" s="139"/>
      <c r="C27" s="79"/>
      <c r="D27" s="85"/>
      <c r="E27" s="86"/>
      <c r="F27" s="87"/>
      <c r="G27" s="85"/>
      <c r="H27" s="86"/>
      <c r="I27" s="87"/>
      <c r="J27" s="138"/>
      <c r="K27" s="137"/>
      <c r="L27" s="134"/>
      <c r="M27" s="136"/>
      <c r="N27" s="135"/>
      <c r="O27" s="135"/>
      <c r="P27" s="134"/>
      <c r="Q27" s="133"/>
      <c r="R27" s="133"/>
      <c r="S27" s="132"/>
      <c r="T27" s="131"/>
      <c r="U27" s="130"/>
      <c r="V27" s="26"/>
      <c r="W27" s="26"/>
      <c r="X27" s="26"/>
      <c r="Y27" s="26"/>
      <c r="Z27" s="27"/>
      <c r="AA27" s="41"/>
      <c r="AB27" s="114"/>
    </row>
    <row r="28" spans="1:28" s="28" customFormat="1" ht="20.100000000000001" customHeight="1">
      <c r="A28" s="129"/>
      <c r="B28" s="139"/>
      <c r="C28" s="79"/>
      <c r="D28" s="85"/>
      <c r="E28" s="86"/>
      <c r="F28" s="87"/>
      <c r="G28" s="85"/>
      <c r="H28" s="86"/>
      <c r="I28" s="87"/>
      <c r="J28" s="138"/>
      <c r="K28" s="137"/>
      <c r="L28" s="134"/>
      <c r="M28" s="136"/>
      <c r="N28" s="135"/>
      <c r="O28" s="135"/>
      <c r="P28" s="134"/>
      <c r="Q28" s="133"/>
      <c r="R28" s="133"/>
      <c r="S28" s="132"/>
      <c r="T28" s="131"/>
      <c r="U28" s="130"/>
      <c r="V28" s="26"/>
      <c r="W28" s="26"/>
      <c r="X28" s="26"/>
      <c r="Y28" s="26"/>
      <c r="Z28" s="27"/>
      <c r="AA28" s="41"/>
      <c r="AB28" s="114"/>
    </row>
    <row r="29" spans="1:28" s="28" customFormat="1" ht="20.100000000000001" customHeight="1">
      <c r="A29" s="129"/>
      <c r="B29" s="139"/>
      <c r="C29" s="79"/>
      <c r="D29" s="85"/>
      <c r="E29" s="86"/>
      <c r="F29" s="87"/>
      <c r="G29" s="85"/>
      <c r="H29" s="86"/>
      <c r="I29" s="87"/>
      <c r="J29" s="138"/>
      <c r="K29" s="137"/>
      <c r="L29" s="134"/>
      <c r="M29" s="136"/>
      <c r="N29" s="135"/>
      <c r="O29" s="135"/>
      <c r="P29" s="134"/>
      <c r="Q29" s="133"/>
      <c r="R29" s="133"/>
      <c r="S29" s="132"/>
      <c r="T29" s="131"/>
      <c r="U29" s="130"/>
      <c r="V29" s="26"/>
      <c r="W29" s="26"/>
      <c r="X29" s="26"/>
      <c r="Y29" s="26"/>
      <c r="Z29" s="27"/>
      <c r="AA29" s="41"/>
      <c r="AB29" s="114"/>
    </row>
    <row r="30" spans="1:28" s="28" customFormat="1" ht="20.100000000000001" customHeight="1">
      <c r="A30" s="129"/>
      <c r="B30" s="139"/>
      <c r="C30" s="79"/>
      <c r="D30" s="85"/>
      <c r="E30" s="86"/>
      <c r="F30" s="87"/>
      <c r="G30" s="85"/>
      <c r="H30" s="86"/>
      <c r="I30" s="87"/>
      <c r="J30" s="138"/>
      <c r="K30" s="137"/>
      <c r="L30" s="134"/>
      <c r="M30" s="136"/>
      <c r="N30" s="135"/>
      <c r="O30" s="135"/>
      <c r="P30" s="134"/>
      <c r="Q30" s="133"/>
      <c r="R30" s="133"/>
      <c r="S30" s="132"/>
      <c r="T30" s="131"/>
      <c r="U30" s="130"/>
      <c r="V30" s="26"/>
      <c r="W30" s="26"/>
      <c r="X30" s="26"/>
      <c r="Y30" s="26"/>
      <c r="Z30" s="27"/>
      <c r="AA30" s="41"/>
      <c r="AB30" s="114"/>
    </row>
    <row r="31" spans="1:28" s="28" customFormat="1" ht="20.100000000000001" customHeight="1">
      <c r="A31" s="129"/>
      <c r="B31" s="139"/>
      <c r="C31" s="79"/>
      <c r="D31" s="85"/>
      <c r="E31" s="86"/>
      <c r="F31" s="87"/>
      <c r="G31" s="85"/>
      <c r="H31" s="86"/>
      <c r="I31" s="87"/>
      <c r="J31" s="138"/>
      <c r="K31" s="137"/>
      <c r="L31" s="134"/>
      <c r="M31" s="136"/>
      <c r="N31" s="135"/>
      <c r="O31" s="135"/>
      <c r="P31" s="134"/>
      <c r="Q31" s="133"/>
      <c r="R31" s="133"/>
      <c r="S31" s="132"/>
      <c r="T31" s="131"/>
      <c r="U31" s="130"/>
      <c r="V31" s="26"/>
      <c r="W31" s="26"/>
      <c r="X31" s="26"/>
      <c r="Y31" s="26"/>
      <c r="Z31" s="27"/>
      <c r="AA31" s="41"/>
      <c r="AB31" s="114"/>
    </row>
    <row r="32" spans="1:28" s="28" customFormat="1" ht="20.100000000000001" customHeight="1">
      <c r="A32" s="129"/>
      <c r="B32" s="139"/>
      <c r="C32" s="79"/>
      <c r="D32" s="85"/>
      <c r="E32" s="86"/>
      <c r="F32" s="87"/>
      <c r="G32" s="85"/>
      <c r="H32" s="86"/>
      <c r="I32" s="87"/>
      <c r="J32" s="138"/>
      <c r="K32" s="137"/>
      <c r="L32" s="134"/>
      <c r="M32" s="136"/>
      <c r="N32" s="135"/>
      <c r="O32" s="135"/>
      <c r="P32" s="134"/>
      <c r="Q32" s="133"/>
      <c r="R32" s="133"/>
      <c r="S32" s="132"/>
      <c r="T32" s="131"/>
      <c r="U32" s="130"/>
      <c r="V32" s="26"/>
      <c r="W32" s="26"/>
      <c r="X32" s="26"/>
      <c r="Y32" s="26"/>
      <c r="Z32" s="27"/>
      <c r="AA32" s="41"/>
      <c r="AB32" s="114"/>
    </row>
    <row r="33" spans="1:28" s="28" customFormat="1" ht="20.100000000000001" customHeight="1">
      <c r="A33" s="129"/>
      <c r="B33" s="139"/>
      <c r="C33" s="79"/>
      <c r="D33" s="85"/>
      <c r="E33" s="86"/>
      <c r="F33" s="87"/>
      <c r="G33" s="85"/>
      <c r="H33" s="86"/>
      <c r="I33" s="87"/>
      <c r="J33" s="138"/>
      <c r="K33" s="137"/>
      <c r="L33" s="134"/>
      <c r="M33" s="136"/>
      <c r="N33" s="135"/>
      <c r="O33" s="135"/>
      <c r="P33" s="134"/>
      <c r="Q33" s="133"/>
      <c r="R33" s="133"/>
      <c r="S33" s="132"/>
      <c r="T33" s="131"/>
      <c r="U33" s="130"/>
      <c r="V33" s="26"/>
      <c r="W33" s="26"/>
      <c r="X33" s="26"/>
      <c r="Y33" s="26"/>
      <c r="Z33" s="27"/>
      <c r="AA33" s="41"/>
      <c r="AB33" s="114"/>
    </row>
    <row r="34" spans="1:28" s="28" customFormat="1" ht="20.100000000000001" customHeight="1">
      <c r="A34" s="129"/>
      <c r="B34" s="139"/>
      <c r="C34" s="79"/>
      <c r="D34" s="85"/>
      <c r="E34" s="86"/>
      <c r="F34" s="87"/>
      <c r="G34" s="85"/>
      <c r="H34" s="86"/>
      <c r="I34" s="87"/>
      <c r="J34" s="138"/>
      <c r="K34" s="137"/>
      <c r="L34" s="134"/>
      <c r="M34" s="136"/>
      <c r="N34" s="135"/>
      <c r="O34" s="135"/>
      <c r="P34" s="134"/>
      <c r="Q34" s="133"/>
      <c r="R34" s="133"/>
      <c r="S34" s="132"/>
      <c r="T34" s="131"/>
      <c r="U34" s="130"/>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133"/>
      <c r="R35" s="133"/>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133"/>
      <c r="R36" s="133"/>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133"/>
      <c r="R37" s="133"/>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9" customFormat="1" ht="20.100000000000001" customHeight="1">
      <c r="A47" s="14"/>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42"/>
    </row>
    <row r="48" spans="1:28" s="28" customFormat="1" ht="20.100000000000001" customHeight="1">
      <c r="A48" s="129"/>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114"/>
    </row>
    <row r="49" spans="1:28" s="28" customFormat="1" ht="20.100000000000001" customHeight="1">
      <c r="A49" s="129"/>
      <c r="B49" s="128"/>
      <c r="C49" s="127"/>
      <c r="D49" s="126"/>
      <c r="E49" s="125"/>
      <c r="F49" s="124"/>
      <c r="G49" s="126"/>
      <c r="H49" s="125"/>
      <c r="I49" s="124"/>
      <c r="J49" s="123"/>
      <c r="K49" s="122"/>
      <c r="L49" s="119"/>
      <c r="M49" s="121"/>
      <c r="N49" s="120"/>
      <c r="O49" s="120"/>
      <c r="P49" s="119"/>
      <c r="Q49" s="118"/>
      <c r="R49" s="118"/>
      <c r="S49" s="117"/>
      <c r="T49" s="116"/>
      <c r="U49" s="115"/>
      <c r="V49" s="26"/>
      <c r="W49" s="26"/>
      <c r="X49" s="26"/>
      <c r="Y49" s="26"/>
      <c r="Z49" s="27"/>
      <c r="AA49" s="41"/>
      <c r="AB49" s="114"/>
    </row>
    <row r="50" spans="1:28" ht="20.100000000000001" customHeight="1">
      <c r="B50" s="109"/>
      <c r="C50" s="113"/>
      <c r="D50" s="2670" t="s">
        <v>18</v>
      </c>
      <c r="E50" s="2671"/>
      <c r="F50" s="2671"/>
      <c r="G50" s="2671"/>
      <c r="H50" s="2671"/>
      <c r="I50" s="2672"/>
      <c r="J50" s="2694" t="e">
        <f>VLOOKUP(A52,#REF!,6,FALSE)</f>
        <v>#REF!</v>
      </c>
      <c r="K50" s="2695"/>
      <c r="L50" s="112" t="s">
        <v>5</v>
      </c>
      <c r="M50" s="2696" t="s">
        <v>19</v>
      </c>
      <c r="N50" s="2697"/>
      <c r="O50" s="2697"/>
      <c r="P50" s="2697"/>
      <c r="Q50" s="2698"/>
      <c r="R50" s="111">
        <f>SUM(R14:R49)</f>
        <v>69.160000000000011</v>
      </c>
      <c r="S50" s="110" t="str">
        <f>L50</f>
        <v>m³</v>
      </c>
      <c r="T50" s="106"/>
      <c r="U50" s="105"/>
    </row>
    <row r="51" spans="1:28" ht="20.100000000000001" customHeight="1">
      <c r="B51" s="109"/>
      <c r="C51" s="72"/>
      <c r="D51" s="2746" t="s">
        <v>20</v>
      </c>
      <c r="E51" s="2679"/>
      <c r="F51" s="2679"/>
      <c r="G51" s="2679"/>
      <c r="H51" s="2679"/>
      <c r="I51" s="2680"/>
      <c r="J51" s="2747" t="e">
        <f>R50/J50</f>
        <v>#REF!</v>
      </c>
      <c r="K51" s="2700"/>
      <c r="L51" s="2703"/>
      <c r="M51" s="2737" t="s">
        <v>21</v>
      </c>
      <c r="N51" s="2738"/>
      <c r="O51" s="2738"/>
      <c r="P51" s="2738"/>
      <c r="Q51" s="2739"/>
      <c r="R51" s="108">
        <v>69.16</v>
      </c>
      <c r="S51" s="107" t="str">
        <f>L50</f>
        <v>m³</v>
      </c>
      <c r="T51" s="106"/>
      <c r="U51" s="105"/>
    </row>
    <row r="52" spans="1:28" ht="20.100000000000001" customHeight="1">
      <c r="A52" s="12" t="s">
        <v>180</v>
      </c>
      <c r="B52" s="213"/>
      <c r="C52" s="73"/>
      <c r="D52" s="2670"/>
      <c r="E52" s="2671"/>
      <c r="F52" s="2671"/>
      <c r="G52" s="2671"/>
      <c r="H52" s="2671"/>
      <c r="I52" s="2672"/>
      <c r="J52" s="2701"/>
      <c r="K52" s="2702"/>
      <c r="L52" s="2704"/>
      <c r="M52" s="2737" t="s">
        <v>22</v>
      </c>
      <c r="N52" s="2738"/>
      <c r="O52" s="2738"/>
      <c r="P52" s="2738"/>
      <c r="Q52" s="2739"/>
      <c r="R52" s="103">
        <f>R50-R51</f>
        <v>0</v>
      </c>
      <c r="S52" s="102" t="str">
        <f>L50</f>
        <v>m³</v>
      </c>
      <c r="T52" s="101"/>
      <c r="U52" s="100"/>
    </row>
  </sheetData>
  <mergeCells count="32">
    <mergeCell ref="B1:U5"/>
    <mergeCell ref="V5:AA5"/>
    <mergeCell ref="B6:I6"/>
    <mergeCell ref="T8:U8"/>
    <mergeCell ref="B12:B13"/>
    <mergeCell ref="C12:C13"/>
    <mergeCell ref="D12:I12"/>
    <mergeCell ref="J12:J13"/>
    <mergeCell ref="K12:K13"/>
    <mergeCell ref="J6:U6"/>
    <mergeCell ref="U12:U13"/>
    <mergeCell ref="D13:F13"/>
    <mergeCell ref="G13:I13"/>
    <mergeCell ref="R12:R13"/>
    <mergeCell ref="S12:S13"/>
    <mergeCell ref="T12:T13"/>
    <mergeCell ref="T9:U9"/>
    <mergeCell ref="T10:U10"/>
    <mergeCell ref="C11:L11"/>
    <mergeCell ref="D51:I52"/>
    <mergeCell ref="J51:K52"/>
    <mergeCell ref="L51:L52"/>
    <mergeCell ref="M51:Q51"/>
    <mergeCell ref="M52:Q52"/>
    <mergeCell ref="D50:I50"/>
    <mergeCell ref="J50:K50"/>
    <mergeCell ref="M50:Q50"/>
    <mergeCell ref="N12:N13"/>
    <mergeCell ref="O12:O13"/>
    <mergeCell ref="Q12:Q13"/>
    <mergeCell ref="L12:L13"/>
    <mergeCell ref="M12:M13"/>
  </mergeCells>
  <conditionalFormatting sqref="J51:K52">
    <cfRule type="cellIs" dxfId="7" priority="1" operator="greaterThanOrEqual">
      <formula>1</formula>
    </cfRule>
    <cfRule type="cellIs" dxfId="6" priority="2" operator="greaterThan">
      <formula>100%</formula>
    </cfRule>
  </conditionalFormatting>
  <printOptions horizontalCentered="1"/>
  <pageMargins left="0.39370078740157483" right="0.39370078740157483" top="0.78740157480314965" bottom="0.78740157480314965" header="0" footer="0.19685039370078741"/>
  <pageSetup paperSize="9" scale="47" firstPageNumber="48" fitToHeight="0" orientation="landscape" useFirstPageNumber="1" r:id="rId1"/>
  <headerFooter>
    <oddFooter>&amp;L__________________________________________
Valdemar Júnior Moreira
Engº Residente - &amp;"-,Itálico"Consórcio EPV&amp;C&amp;P&amp;R__________________________________________
Paulo Maurício Ferrari
Engº Fiscal - &amp;"-,Itálico"SR-U</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334F21"/>
    <pageSetUpPr fitToPage="1"/>
  </sheetPr>
  <dimension ref="A1:AJ52"/>
  <sheetViews>
    <sheetView showGridLines="0" view="pageBreakPreview" topLeftCell="A7" zoomScale="60" zoomScaleNormal="100" workbookViewId="0">
      <selection activeCell="T43" sqref="T43"/>
    </sheetView>
  </sheetViews>
  <sheetFormatPr defaultRowHeight="12.75"/>
  <cols>
    <col min="1" max="1" width="9.140625" style="12"/>
    <col min="2" max="2" width="14.2851562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5" width="13.5703125" style="8" customWidth="1"/>
    <col min="16" max="16" width="14.5703125" style="8" customWidth="1"/>
    <col min="17" max="18" width="13.5703125" style="8" customWidth="1"/>
    <col min="19" max="19" width="9" style="8" customWidth="1"/>
    <col min="20" max="20" width="12.5703125" style="8" customWidth="1"/>
    <col min="21" max="21" width="38.140625" style="8" bestFit="1" customWidth="1"/>
    <col min="22" max="27" width="9.140625" style="8"/>
    <col min="28" max="28" width="12.7109375" style="15" customWidth="1"/>
    <col min="29" max="16384" width="9.140625" style="8"/>
  </cols>
  <sheetData>
    <row r="1" spans="1:36" ht="18.75" customHeight="1">
      <c r="B1" s="2652" t="s">
        <v>115</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655" t="s">
        <v>9</v>
      </c>
      <c r="C6" s="2656"/>
      <c r="D6" s="2656"/>
      <c r="E6" s="2656"/>
      <c r="F6" s="2656"/>
      <c r="G6" s="2656"/>
      <c r="H6" s="2656"/>
      <c r="I6" s="2748"/>
      <c r="J6" s="2749" t="s">
        <v>10</v>
      </c>
      <c r="K6" s="2750"/>
      <c r="L6" s="2750"/>
      <c r="M6" s="2750"/>
      <c r="N6" s="2750"/>
      <c r="O6" s="2750"/>
      <c r="P6" s="2750"/>
      <c r="Q6" s="2750"/>
      <c r="R6" s="2750"/>
      <c r="S6" s="2750"/>
      <c r="T6" s="2750"/>
      <c r="U6" s="2751"/>
      <c r="V6" s="99"/>
      <c r="W6" s="99"/>
      <c r="X6" s="99"/>
      <c r="Y6" s="99"/>
      <c r="Z6" s="99"/>
      <c r="AA6" s="99"/>
      <c r="AB6" s="17"/>
    </row>
    <row r="7" spans="1:36" s="20" customFormat="1" ht="15.75">
      <c r="A7" s="19"/>
      <c r="B7" s="152" t="s">
        <v>96</v>
      </c>
      <c r="C7" s="149" t="e">
        <f>#REF!</f>
        <v>#REF!</v>
      </c>
      <c r="D7" s="145"/>
      <c r="E7" s="92"/>
      <c r="F7" s="92"/>
      <c r="G7" s="145"/>
      <c r="H7" s="92"/>
      <c r="I7" s="92"/>
      <c r="J7" s="214" t="s">
        <v>114</v>
      </c>
      <c r="K7" s="145"/>
      <c r="L7" s="94"/>
      <c r="M7" s="93"/>
      <c r="N7" s="93"/>
      <c r="O7" s="93"/>
      <c r="P7" s="93"/>
      <c r="Q7" s="93"/>
      <c r="R7" s="93"/>
      <c r="S7" s="94"/>
      <c r="T7" s="94"/>
      <c r="U7" s="95"/>
      <c r="AB7" s="21"/>
    </row>
    <row r="8" spans="1:36" s="20" customFormat="1" ht="15.75">
      <c r="A8" s="19"/>
      <c r="B8" s="148" t="s">
        <v>79</v>
      </c>
      <c r="C8" s="149" t="e">
        <f>#REF!</f>
        <v>#REF!</v>
      </c>
      <c r="D8" s="145"/>
      <c r="E8" s="92"/>
      <c r="F8" s="92"/>
      <c r="G8" s="145"/>
      <c r="H8" s="92"/>
      <c r="I8" s="92"/>
      <c r="J8" s="146" t="s">
        <v>276</v>
      </c>
      <c r="K8" s="145"/>
      <c r="L8" s="145"/>
      <c r="M8" s="145"/>
      <c r="N8" s="96"/>
      <c r="O8" s="96"/>
      <c r="P8" s="96"/>
      <c r="Q8" s="96"/>
      <c r="R8" s="96"/>
      <c r="S8" s="145"/>
      <c r="T8" s="2647"/>
      <c r="U8" s="2648"/>
      <c r="AB8" s="21"/>
    </row>
    <row r="9" spans="1:36" s="20" customFormat="1" ht="15.75">
      <c r="A9" s="19"/>
      <c r="B9" s="148" t="s">
        <v>11</v>
      </c>
      <c r="C9" s="206" t="e">
        <f>VLOOKUP(B9,[0]!_xlnm.Print_Area,2,FALSE)</f>
        <v>#REF!</v>
      </c>
      <c r="D9" s="145"/>
      <c r="E9" s="92"/>
      <c r="F9" s="92"/>
      <c r="G9" s="145"/>
      <c r="H9" s="92"/>
      <c r="I9" s="92"/>
      <c r="J9" s="146" t="s">
        <v>277</v>
      </c>
      <c r="K9" s="145"/>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206" t="e">
        <f>VLOOKUP(B10,[0]!_xlnm.Print_Area,2,FALSE)</f>
        <v>#REF!</v>
      </c>
      <c r="D10" s="145"/>
      <c r="E10" s="92"/>
      <c r="F10" s="92"/>
      <c r="G10" s="145"/>
      <c r="H10" s="92"/>
      <c r="I10" s="92"/>
      <c r="J10" s="146" t="s">
        <v>278</v>
      </c>
      <c r="K10" s="145"/>
      <c r="L10" s="92"/>
      <c r="M10" s="92"/>
      <c r="N10" s="92"/>
      <c r="O10" s="92"/>
      <c r="P10" s="202"/>
      <c r="Q10" s="202"/>
      <c r="R10" s="202"/>
      <c r="S10" s="202"/>
      <c r="T10" s="2660"/>
      <c r="U10" s="2661"/>
      <c r="AA10" s="22"/>
      <c r="AB10" s="22"/>
      <c r="AC10" s="22"/>
      <c r="AD10" s="22"/>
      <c r="AE10" s="22"/>
      <c r="AF10" s="22"/>
      <c r="AG10" s="22"/>
      <c r="AH10" s="22"/>
      <c r="AI10" s="22"/>
      <c r="AJ10" s="22"/>
    </row>
    <row r="11" spans="1:36" s="29" customFormat="1" ht="21" customHeight="1">
      <c r="A11" s="23"/>
      <c r="B11" s="143" t="str">
        <f>LEFT(A52,1)</f>
        <v>9</v>
      </c>
      <c r="C11" s="2662" t="s">
        <v>281</v>
      </c>
      <c r="D11" s="2663"/>
      <c r="E11" s="2663"/>
      <c r="F11" s="2663"/>
      <c r="G11" s="2663"/>
      <c r="H11" s="2663"/>
      <c r="I11" s="2663"/>
      <c r="J11" s="2663"/>
      <c r="K11" s="2663"/>
      <c r="L11" s="2663"/>
      <c r="M11" s="207"/>
      <c r="N11" s="207"/>
      <c r="O11" s="207"/>
      <c r="P11" s="207"/>
      <c r="Q11" s="207"/>
      <c r="R11" s="207"/>
      <c r="S11" s="207"/>
      <c r="T11" s="207"/>
      <c r="U11" s="208"/>
      <c r="V11" s="26"/>
      <c r="W11" s="26"/>
      <c r="X11" s="26"/>
      <c r="Y11" s="26"/>
      <c r="Z11" s="27"/>
      <c r="AA11" s="28"/>
      <c r="AB11" s="28"/>
      <c r="AC11" s="28"/>
      <c r="AD11" s="28"/>
      <c r="AE11" s="28"/>
      <c r="AF11" s="28"/>
      <c r="AG11" s="28"/>
      <c r="AH11" s="28"/>
      <c r="AI11" s="28"/>
      <c r="AJ11" s="28"/>
    </row>
    <row r="12" spans="1:36" s="29" customFormat="1" ht="23.1" customHeight="1">
      <c r="A12" s="23"/>
      <c r="B12" s="2664" t="e">
        <f>VLOOKUP(A52,#REF!,2,FALSE)</f>
        <v>#REF!</v>
      </c>
      <c r="C12" s="2665" t="e">
        <f>VLOOKUP(A52,#REF!,3,FALSE)</f>
        <v>#REF!</v>
      </c>
      <c r="D12" s="2666" t="s">
        <v>97</v>
      </c>
      <c r="E12" s="2666"/>
      <c r="F12" s="2666"/>
      <c r="G12" s="2666"/>
      <c r="H12" s="2666"/>
      <c r="I12" s="2666"/>
      <c r="J12" s="2668" t="s">
        <v>98</v>
      </c>
      <c r="K12" s="2668" t="s">
        <v>102</v>
      </c>
      <c r="L12" s="2668" t="s">
        <v>103</v>
      </c>
      <c r="M12" s="2668" t="s">
        <v>113</v>
      </c>
      <c r="N12" s="2668" t="s">
        <v>112</v>
      </c>
      <c r="O12" s="2668" t="s">
        <v>107</v>
      </c>
      <c r="P12" s="192" t="s">
        <v>153</v>
      </c>
      <c r="Q12" s="2668" t="s">
        <v>16</v>
      </c>
      <c r="R12" s="2668" t="s">
        <v>2</v>
      </c>
      <c r="S12" s="2668" t="s">
        <v>99</v>
      </c>
      <c r="T12" s="2668" t="s">
        <v>17</v>
      </c>
      <c r="U12" s="2667"/>
      <c r="V12" s="26"/>
      <c r="W12" s="26"/>
      <c r="X12" s="26"/>
      <c r="Y12" s="26"/>
      <c r="Z12" s="27"/>
      <c r="AA12" s="28"/>
      <c r="AB12" s="28"/>
      <c r="AC12" s="28"/>
      <c r="AD12" s="28"/>
      <c r="AE12" s="28"/>
      <c r="AF12" s="28"/>
      <c r="AG12" s="28"/>
      <c r="AH12" s="28"/>
      <c r="AI12" s="28"/>
      <c r="AJ12" s="28"/>
    </row>
    <row r="13" spans="1:36" s="29" customFormat="1" ht="23.1" customHeight="1">
      <c r="A13" s="23"/>
      <c r="B13" s="2664"/>
      <c r="C13" s="2665"/>
      <c r="D13" s="2669" t="s">
        <v>14</v>
      </c>
      <c r="E13" s="2669"/>
      <c r="F13" s="2669"/>
      <c r="G13" s="2667" t="s">
        <v>15</v>
      </c>
      <c r="H13" s="2667"/>
      <c r="I13" s="2667"/>
      <c r="J13" s="2417"/>
      <c r="K13" s="2417"/>
      <c r="L13" s="2417"/>
      <c r="M13" s="2417"/>
      <c r="N13" s="2417"/>
      <c r="O13" s="2417"/>
      <c r="P13" s="89" t="s">
        <v>104</v>
      </c>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39"/>
      <c r="C14" s="58" t="s">
        <v>204</v>
      </c>
      <c r="D14" s="82">
        <v>104</v>
      </c>
      <c r="E14" s="44" t="s">
        <v>68</v>
      </c>
      <c r="F14" s="83">
        <v>0</v>
      </c>
      <c r="G14" s="82">
        <v>114</v>
      </c>
      <c r="H14" s="44" t="s">
        <v>68</v>
      </c>
      <c r="I14" s="83">
        <v>0</v>
      </c>
      <c r="J14" s="46"/>
      <c r="K14" s="35">
        <v>190</v>
      </c>
      <c r="L14" s="48">
        <v>1.82</v>
      </c>
      <c r="M14" s="49">
        <v>0.2</v>
      </c>
      <c r="N14" s="50">
        <v>345.8</v>
      </c>
      <c r="O14" s="50">
        <f>M14*N14</f>
        <v>69.160000000000011</v>
      </c>
      <c r="P14" s="52">
        <v>2.2090000000000001</v>
      </c>
      <c r="Q14" s="53"/>
      <c r="R14" s="53">
        <f>O14*P14</f>
        <v>152.77444000000003</v>
      </c>
      <c r="S14" s="54" t="s">
        <v>6</v>
      </c>
      <c r="T14" s="141" t="s">
        <v>83</v>
      </c>
      <c r="U14" s="39"/>
      <c r="V14" s="26"/>
      <c r="W14" s="26"/>
      <c r="X14" s="26"/>
      <c r="Y14" s="26"/>
      <c r="Z14" s="27"/>
    </row>
    <row r="15" spans="1:36" s="28" customFormat="1" ht="20.100000000000001" customHeight="1">
      <c r="A15" s="129"/>
      <c r="B15" s="139"/>
      <c r="C15" s="79" t="s">
        <v>211</v>
      </c>
      <c r="D15" s="156">
        <v>307</v>
      </c>
      <c r="E15" s="86" t="s">
        <v>68</v>
      </c>
      <c r="F15" s="155">
        <v>7</v>
      </c>
      <c r="G15" s="156">
        <v>308</v>
      </c>
      <c r="H15" s="86" t="s">
        <v>68</v>
      </c>
      <c r="I15" s="155">
        <v>0</v>
      </c>
      <c r="J15" s="138"/>
      <c r="K15" s="215"/>
      <c r="L15" s="134"/>
      <c r="M15" s="136">
        <v>0.3</v>
      </c>
      <c r="N15" s="135">
        <v>85.15</v>
      </c>
      <c r="O15" s="135">
        <f>M15*N15</f>
        <v>25.545000000000002</v>
      </c>
      <c r="P15" s="134">
        <v>2.1</v>
      </c>
      <c r="Q15" s="133"/>
      <c r="R15" s="133">
        <f>O15*P15</f>
        <v>53.644500000000008</v>
      </c>
      <c r="S15" s="132" t="s">
        <v>6</v>
      </c>
      <c r="T15" s="140" t="s">
        <v>93</v>
      </c>
      <c r="U15" s="39"/>
      <c r="V15" s="26"/>
      <c r="W15" s="26"/>
      <c r="X15" s="26"/>
      <c r="Y15" s="26"/>
      <c r="Z15" s="27"/>
      <c r="AA15" s="41"/>
      <c r="AB15" s="114"/>
    </row>
    <row r="16" spans="1:36" s="28" customFormat="1" ht="20.100000000000001" customHeight="1">
      <c r="A16" s="129"/>
      <c r="B16" s="139"/>
      <c r="C16" s="79"/>
      <c r="D16" s="85"/>
      <c r="E16" s="86"/>
      <c r="F16" s="87"/>
      <c r="G16" s="85"/>
      <c r="H16" s="86"/>
      <c r="I16" s="87"/>
      <c r="J16" s="138"/>
      <c r="K16" s="193"/>
      <c r="L16" s="134"/>
      <c r="M16" s="136"/>
      <c r="N16" s="135"/>
      <c r="O16" s="135"/>
      <c r="P16" s="134"/>
      <c r="Q16" s="133"/>
      <c r="R16" s="133"/>
      <c r="S16" s="132"/>
      <c r="T16" s="131"/>
      <c r="U16" s="130"/>
      <c r="V16" s="26"/>
      <c r="W16" s="26"/>
      <c r="X16" s="26"/>
      <c r="Y16" s="26"/>
      <c r="Z16" s="27"/>
      <c r="AA16" s="41"/>
      <c r="AB16" s="114"/>
    </row>
    <row r="17" spans="1:28" s="28" customFormat="1" ht="20.100000000000001" customHeight="1">
      <c r="A17" s="129"/>
      <c r="B17" s="139"/>
      <c r="C17" s="79"/>
      <c r="D17" s="85"/>
      <c r="E17" s="86"/>
      <c r="F17" s="87"/>
      <c r="G17" s="85"/>
      <c r="H17" s="86"/>
      <c r="I17" s="87"/>
      <c r="J17" s="138"/>
      <c r="K17" s="193"/>
      <c r="L17" s="134"/>
      <c r="M17" s="136"/>
      <c r="N17" s="135"/>
      <c r="O17" s="135"/>
      <c r="P17" s="134"/>
      <c r="Q17" s="133"/>
      <c r="R17" s="133"/>
      <c r="S17" s="132"/>
      <c r="T17" s="131"/>
      <c r="U17" s="130"/>
      <c r="V17" s="26"/>
      <c r="W17" s="26"/>
      <c r="X17" s="26"/>
      <c r="Y17" s="26"/>
      <c r="Z17" s="27"/>
      <c r="AA17" s="41"/>
      <c r="AB17" s="114"/>
    </row>
    <row r="18" spans="1:28" s="28" customFormat="1" ht="20.100000000000001" customHeight="1">
      <c r="A18" s="129"/>
      <c r="B18" s="139"/>
      <c r="C18" s="79"/>
      <c r="D18" s="85"/>
      <c r="E18" s="86"/>
      <c r="F18" s="87"/>
      <c r="G18" s="85"/>
      <c r="H18" s="86"/>
      <c r="I18" s="87"/>
      <c r="J18" s="138"/>
      <c r="K18" s="137"/>
      <c r="L18" s="134"/>
      <c r="M18" s="136"/>
      <c r="N18" s="135"/>
      <c r="O18" s="135"/>
      <c r="P18" s="134"/>
      <c r="Q18" s="133"/>
      <c r="R18" s="133"/>
      <c r="S18" s="132"/>
      <c r="T18" s="131"/>
      <c r="U18" s="130"/>
      <c r="V18" s="26"/>
      <c r="W18" s="26"/>
      <c r="X18" s="26"/>
      <c r="Y18" s="26"/>
      <c r="Z18" s="27"/>
      <c r="AA18" s="41"/>
      <c r="AB18" s="114"/>
    </row>
    <row r="19" spans="1:28" s="28" customFormat="1" ht="20.100000000000001" customHeight="1">
      <c r="A19" s="129"/>
      <c r="B19" s="139"/>
      <c r="C19" s="79"/>
      <c r="D19" s="85"/>
      <c r="E19" s="86"/>
      <c r="F19" s="87"/>
      <c r="G19" s="85"/>
      <c r="H19" s="86"/>
      <c r="I19" s="87"/>
      <c r="J19" s="138"/>
      <c r="K19" s="137"/>
      <c r="L19" s="134"/>
      <c r="M19" s="136"/>
      <c r="N19" s="135"/>
      <c r="O19" s="135"/>
      <c r="P19" s="134"/>
      <c r="Q19" s="133"/>
      <c r="R19" s="133"/>
      <c r="S19" s="132"/>
      <c r="T19" s="131"/>
      <c r="U19" s="130"/>
      <c r="V19" s="26"/>
      <c r="W19" s="26"/>
      <c r="X19" s="26"/>
      <c r="Y19" s="26"/>
      <c r="Z19" s="27"/>
      <c r="AA19" s="41"/>
      <c r="AB19" s="114"/>
    </row>
    <row r="20" spans="1:28" s="28" customFormat="1" ht="20.100000000000001" customHeight="1">
      <c r="A20" s="129"/>
      <c r="B20" s="139"/>
      <c r="C20" s="79"/>
      <c r="D20" s="85"/>
      <c r="E20" s="86"/>
      <c r="F20" s="87"/>
      <c r="G20" s="85"/>
      <c r="H20" s="86"/>
      <c r="I20" s="87"/>
      <c r="J20" s="138"/>
      <c r="K20" s="137"/>
      <c r="L20" s="134"/>
      <c r="M20" s="136"/>
      <c r="N20" s="135"/>
      <c r="O20" s="135"/>
      <c r="P20" s="134"/>
      <c r="Q20" s="133"/>
      <c r="R20" s="133"/>
      <c r="S20" s="132"/>
      <c r="T20" s="131"/>
      <c r="U20" s="130"/>
      <c r="V20" s="26"/>
      <c r="W20" s="26"/>
      <c r="X20" s="26"/>
      <c r="Y20" s="26"/>
      <c r="Z20" s="27"/>
      <c r="AA20" s="41"/>
      <c r="AB20" s="114"/>
    </row>
    <row r="21" spans="1:28" s="28" customFormat="1" ht="20.100000000000001" customHeight="1">
      <c r="A21" s="129"/>
      <c r="B21" s="139"/>
      <c r="C21" s="79"/>
      <c r="D21" s="85"/>
      <c r="E21" s="86"/>
      <c r="F21" s="87"/>
      <c r="G21" s="85"/>
      <c r="H21" s="86"/>
      <c r="I21" s="87"/>
      <c r="J21" s="138"/>
      <c r="K21" s="137"/>
      <c r="L21" s="134"/>
      <c r="M21" s="136"/>
      <c r="N21" s="135"/>
      <c r="O21" s="135"/>
      <c r="P21" s="134"/>
      <c r="Q21" s="133"/>
      <c r="R21" s="133"/>
      <c r="S21" s="132"/>
      <c r="T21" s="131"/>
      <c r="U21" s="130"/>
      <c r="V21" s="26"/>
      <c r="W21" s="26"/>
      <c r="X21" s="26"/>
      <c r="Y21" s="26"/>
      <c r="Z21" s="27"/>
      <c r="AA21" s="41"/>
      <c r="AB21" s="114"/>
    </row>
    <row r="22" spans="1:28" s="28" customFormat="1" ht="20.100000000000001" customHeight="1">
      <c r="A22" s="129"/>
      <c r="B22" s="139"/>
      <c r="C22" s="79"/>
      <c r="D22" s="85"/>
      <c r="E22" s="86"/>
      <c r="F22" s="87"/>
      <c r="G22" s="85"/>
      <c r="H22" s="86"/>
      <c r="I22" s="87"/>
      <c r="J22" s="138"/>
      <c r="K22" s="137"/>
      <c r="L22" s="134"/>
      <c r="M22" s="136"/>
      <c r="N22" s="135"/>
      <c r="O22" s="135"/>
      <c r="P22" s="134"/>
      <c r="Q22" s="133"/>
      <c r="R22" s="133"/>
      <c r="S22" s="132"/>
      <c r="T22" s="131"/>
      <c r="U22" s="130"/>
      <c r="V22" s="26"/>
      <c r="W22" s="26"/>
      <c r="X22" s="26"/>
      <c r="Y22" s="26"/>
      <c r="Z22" s="27"/>
      <c r="AA22" s="41"/>
      <c r="AB22" s="114"/>
    </row>
    <row r="23" spans="1:28" s="28" customFormat="1" ht="20.100000000000001" customHeight="1">
      <c r="A23" s="129"/>
      <c r="B23" s="139"/>
      <c r="C23" s="79"/>
      <c r="D23" s="85"/>
      <c r="E23" s="86"/>
      <c r="F23" s="87"/>
      <c r="G23" s="85"/>
      <c r="H23" s="86"/>
      <c r="I23" s="87"/>
      <c r="J23" s="138"/>
      <c r="K23" s="137"/>
      <c r="L23" s="134"/>
      <c r="M23" s="136"/>
      <c r="N23" s="135"/>
      <c r="O23" s="135"/>
      <c r="P23" s="134"/>
      <c r="Q23" s="133"/>
      <c r="R23" s="133"/>
      <c r="S23" s="132"/>
      <c r="T23" s="131"/>
      <c r="U23" s="130"/>
      <c r="V23" s="26"/>
      <c r="W23" s="26"/>
      <c r="X23" s="26"/>
      <c r="Y23" s="26"/>
      <c r="Z23" s="27"/>
      <c r="AA23" s="41"/>
      <c r="AB23" s="114"/>
    </row>
    <row r="24" spans="1:28" s="28" customFormat="1" ht="20.100000000000001" customHeight="1">
      <c r="A24" s="129"/>
      <c r="B24" s="139"/>
      <c r="C24" s="79"/>
      <c r="D24" s="85"/>
      <c r="E24" s="86"/>
      <c r="F24" s="87"/>
      <c r="G24" s="85"/>
      <c r="H24" s="86"/>
      <c r="I24" s="87"/>
      <c r="J24" s="138"/>
      <c r="K24" s="137"/>
      <c r="L24" s="134"/>
      <c r="M24" s="136"/>
      <c r="N24" s="135"/>
      <c r="O24" s="135"/>
      <c r="P24" s="134"/>
      <c r="Q24" s="133"/>
      <c r="R24" s="133"/>
      <c r="S24" s="132"/>
      <c r="T24" s="131"/>
      <c r="U24" s="130"/>
      <c r="V24" s="26"/>
      <c r="W24" s="26"/>
      <c r="X24" s="26"/>
      <c r="Y24" s="26"/>
      <c r="Z24" s="27"/>
      <c r="AA24" s="41"/>
      <c r="AB24" s="114"/>
    </row>
    <row r="25" spans="1:28" s="28" customFormat="1" ht="20.100000000000001" customHeight="1">
      <c r="A25" s="129"/>
      <c r="B25" s="139"/>
      <c r="C25" s="79"/>
      <c r="D25" s="85"/>
      <c r="E25" s="86"/>
      <c r="F25" s="87"/>
      <c r="G25" s="85"/>
      <c r="H25" s="86"/>
      <c r="I25" s="87"/>
      <c r="J25" s="138"/>
      <c r="K25" s="137"/>
      <c r="L25" s="134"/>
      <c r="M25" s="136"/>
      <c r="N25" s="135"/>
      <c r="O25" s="135"/>
      <c r="P25" s="134"/>
      <c r="Q25" s="133"/>
      <c r="R25" s="133"/>
      <c r="S25" s="154"/>
      <c r="T25" s="153"/>
      <c r="U25" s="130"/>
      <c r="V25" s="26"/>
      <c r="W25" s="26"/>
      <c r="X25" s="26"/>
      <c r="Y25" s="26"/>
      <c r="Z25" s="27"/>
      <c r="AA25" s="41"/>
      <c r="AB25" s="114"/>
    </row>
    <row r="26" spans="1:28" s="28" customFormat="1" ht="20.100000000000001" customHeight="1">
      <c r="A26" s="129"/>
      <c r="B26" s="139"/>
      <c r="C26" s="79"/>
      <c r="D26" s="85"/>
      <c r="E26" s="86"/>
      <c r="F26" s="87"/>
      <c r="G26" s="85"/>
      <c r="H26" s="86"/>
      <c r="I26" s="87"/>
      <c r="J26" s="138"/>
      <c r="K26" s="137"/>
      <c r="L26" s="134"/>
      <c r="M26" s="136"/>
      <c r="N26" s="135"/>
      <c r="O26" s="135"/>
      <c r="P26" s="134"/>
      <c r="Q26" s="133"/>
      <c r="R26" s="133"/>
      <c r="S26" s="132"/>
      <c r="T26" s="131"/>
      <c r="U26" s="130"/>
      <c r="V26" s="26"/>
      <c r="W26" s="26"/>
      <c r="X26" s="26"/>
      <c r="Y26" s="26"/>
      <c r="Z26" s="27"/>
      <c r="AA26" s="41"/>
      <c r="AB26" s="114"/>
    </row>
    <row r="27" spans="1:28" s="28" customFormat="1" ht="20.100000000000001" customHeight="1">
      <c r="A27" s="129"/>
      <c r="B27" s="139"/>
      <c r="C27" s="79"/>
      <c r="D27" s="85"/>
      <c r="E27" s="86"/>
      <c r="F27" s="87"/>
      <c r="G27" s="85"/>
      <c r="H27" s="86"/>
      <c r="I27" s="87"/>
      <c r="J27" s="138"/>
      <c r="K27" s="137"/>
      <c r="L27" s="134"/>
      <c r="M27" s="136"/>
      <c r="N27" s="135"/>
      <c r="O27" s="135"/>
      <c r="P27" s="134"/>
      <c r="Q27" s="133"/>
      <c r="R27" s="133"/>
      <c r="S27" s="132"/>
      <c r="T27" s="131"/>
      <c r="U27" s="130"/>
      <c r="V27" s="26"/>
      <c r="W27" s="26"/>
      <c r="X27" s="26"/>
      <c r="Y27" s="26"/>
      <c r="Z27" s="27"/>
      <c r="AA27" s="41"/>
      <c r="AB27" s="114"/>
    </row>
    <row r="28" spans="1:28" s="28" customFormat="1" ht="20.100000000000001" customHeight="1">
      <c r="A28" s="129"/>
      <c r="B28" s="139"/>
      <c r="C28" s="79"/>
      <c r="D28" s="85"/>
      <c r="E28" s="86"/>
      <c r="F28" s="87"/>
      <c r="G28" s="85"/>
      <c r="H28" s="86"/>
      <c r="I28" s="87"/>
      <c r="J28" s="138"/>
      <c r="K28" s="137"/>
      <c r="L28" s="134"/>
      <c r="M28" s="136"/>
      <c r="N28" s="135"/>
      <c r="O28" s="135"/>
      <c r="P28" s="134"/>
      <c r="Q28" s="133"/>
      <c r="R28" s="133"/>
      <c r="S28" s="132"/>
      <c r="T28" s="131"/>
      <c r="U28" s="130"/>
      <c r="V28" s="26"/>
      <c r="W28" s="26"/>
      <c r="X28" s="26"/>
      <c r="Y28" s="26"/>
      <c r="Z28" s="27"/>
      <c r="AA28" s="41"/>
      <c r="AB28" s="114"/>
    </row>
    <row r="29" spans="1:28" s="28" customFormat="1" ht="20.100000000000001" customHeight="1">
      <c r="A29" s="129"/>
      <c r="B29" s="139"/>
      <c r="C29" s="79"/>
      <c r="D29" s="85"/>
      <c r="E29" s="86"/>
      <c r="F29" s="87"/>
      <c r="G29" s="85"/>
      <c r="H29" s="86"/>
      <c r="I29" s="87"/>
      <c r="J29" s="138"/>
      <c r="K29" s="137"/>
      <c r="L29" s="134"/>
      <c r="M29" s="136"/>
      <c r="N29" s="135"/>
      <c r="O29" s="135"/>
      <c r="P29" s="134"/>
      <c r="Q29" s="133"/>
      <c r="R29" s="133"/>
      <c r="S29" s="132"/>
      <c r="T29" s="131"/>
      <c r="U29" s="130"/>
      <c r="V29" s="26"/>
      <c r="W29" s="26"/>
      <c r="X29" s="26"/>
      <c r="Y29" s="26"/>
      <c r="Z29" s="27"/>
      <c r="AA29" s="41"/>
      <c r="AB29" s="114"/>
    </row>
    <row r="30" spans="1:28" s="28" customFormat="1" ht="20.100000000000001" customHeight="1">
      <c r="A30" s="129"/>
      <c r="B30" s="139"/>
      <c r="C30" s="79"/>
      <c r="D30" s="85"/>
      <c r="E30" s="86"/>
      <c r="F30" s="87"/>
      <c r="G30" s="85"/>
      <c r="H30" s="86"/>
      <c r="I30" s="87"/>
      <c r="J30" s="138"/>
      <c r="K30" s="137"/>
      <c r="L30" s="134"/>
      <c r="M30" s="136"/>
      <c r="N30" s="135"/>
      <c r="O30" s="135"/>
      <c r="P30" s="134"/>
      <c r="Q30" s="133"/>
      <c r="R30" s="133"/>
      <c r="S30" s="132"/>
      <c r="T30" s="131"/>
      <c r="U30" s="130"/>
      <c r="V30" s="26"/>
      <c r="W30" s="26"/>
      <c r="X30" s="26"/>
      <c r="Y30" s="26"/>
      <c r="Z30" s="27"/>
      <c r="AA30" s="41"/>
      <c r="AB30" s="114"/>
    </row>
    <row r="31" spans="1:28" s="28" customFormat="1" ht="20.100000000000001" customHeight="1">
      <c r="A31" s="129"/>
      <c r="B31" s="139"/>
      <c r="C31" s="79"/>
      <c r="D31" s="85"/>
      <c r="E31" s="86"/>
      <c r="F31" s="87"/>
      <c r="G31" s="85"/>
      <c r="H31" s="86"/>
      <c r="I31" s="87"/>
      <c r="J31" s="138"/>
      <c r="K31" s="137"/>
      <c r="L31" s="134"/>
      <c r="M31" s="136"/>
      <c r="N31" s="135"/>
      <c r="O31" s="135"/>
      <c r="P31" s="134"/>
      <c r="Q31" s="133"/>
      <c r="R31" s="133"/>
      <c r="S31" s="132"/>
      <c r="T31" s="131"/>
      <c r="U31" s="130"/>
      <c r="V31" s="26"/>
      <c r="W31" s="26"/>
      <c r="X31" s="26"/>
      <c r="Y31" s="26"/>
      <c r="Z31" s="27"/>
      <c r="AA31" s="41"/>
      <c r="AB31" s="114"/>
    </row>
    <row r="32" spans="1:28" s="28" customFormat="1" ht="20.100000000000001" customHeight="1">
      <c r="A32" s="129"/>
      <c r="B32" s="139"/>
      <c r="C32" s="79"/>
      <c r="D32" s="85"/>
      <c r="E32" s="86"/>
      <c r="F32" s="87"/>
      <c r="G32" s="85"/>
      <c r="H32" s="86"/>
      <c r="I32" s="87"/>
      <c r="J32" s="138"/>
      <c r="K32" s="137"/>
      <c r="L32" s="134"/>
      <c r="M32" s="136"/>
      <c r="N32" s="135"/>
      <c r="O32" s="135"/>
      <c r="P32" s="134"/>
      <c r="Q32" s="133"/>
      <c r="R32" s="133"/>
      <c r="S32" s="132"/>
      <c r="T32" s="131"/>
      <c r="U32" s="130"/>
      <c r="V32" s="26"/>
      <c r="W32" s="26"/>
      <c r="X32" s="26"/>
      <c r="Y32" s="26"/>
      <c r="Z32" s="27"/>
      <c r="AA32" s="41"/>
      <c r="AB32" s="114"/>
    </row>
    <row r="33" spans="1:28" s="28" customFormat="1" ht="20.100000000000001" customHeight="1">
      <c r="A33" s="129"/>
      <c r="B33" s="139"/>
      <c r="C33" s="79"/>
      <c r="D33" s="85"/>
      <c r="E33" s="86"/>
      <c r="F33" s="87"/>
      <c r="G33" s="85"/>
      <c r="H33" s="86"/>
      <c r="I33" s="87"/>
      <c r="J33" s="138"/>
      <c r="K33" s="137"/>
      <c r="L33" s="134"/>
      <c r="M33" s="136"/>
      <c r="N33" s="135"/>
      <c r="O33" s="135"/>
      <c r="P33" s="134"/>
      <c r="Q33" s="133"/>
      <c r="R33" s="133"/>
      <c r="S33" s="132"/>
      <c r="T33" s="131"/>
      <c r="U33" s="130"/>
      <c r="V33" s="26"/>
      <c r="W33" s="26"/>
      <c r="X33" s="26"/>
      <c r="Y33" s="26"/>
      <c r="Z33" s="27"/>
      <c r="AA33" s="41"/>
      <c r="AB33" s="114"/>
    </row>
    <row r="34" spans="1:28" s="28" customFormat="1" ht="20.100000000000001" customHeight="1">
      <c r="A34" s="129"/>
      <c r="B34" s="139"/>
      <c r="C34" s="79"/>
      <c r="D34" s="85"/>
      <c r="E34" s="86"/>
      <c r="F34" s="87"/>
      <c r="G34" s="85"/>
      <c r="H34" s="86"/>
      <c r="I34" s="87"/>
      <c r="J34" s="138"/>
      <c r="K34" s="137"/>
      <c r="L34" s="134"/>
      <c r="M34" s="136"/>
      <c r="N34" s="135"/>
      <c r="O34" s="135"/>
      <c r="P34" s="134"/>
      <c r="Q34" s="133"/>
      <c r="R34" s="133"/>
      <c r="S34" s="132"/>
      <c r="T34" s="131"/>
      <c r="U34" s="130"/>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133"/>
      <c r="R35" s="133"/>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133"/>
      <c r="R36" s="133"/>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133"/>
      <c r="R37" s="133"/>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9" customFormat="1" ht="20.100000000000001" customHeight="1">
      <c r="A48" s="14"/>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42"/>
    </row>
    <row r="49" spans="1:28" s="28" customFormat="1" ht="20.100000000000001" customHeight="1">
      <c r="A49" s="129"/>
      <c r="B49" s="128"/>
      <c r="C49" s="127"/>
      <c r="D49" s="126"/>
      <c r="E49" s="125"/>
      <c r="F49" s="124"/>
      <c r="G49" s="126"/>
      <c r="H49" s="125"/>
      <c r="I49" s="124"/>
      <c r="J49" s="123"/>
      <c r="K49" s="122"/>
      <c r="L49" s="119"/>
      <c r="M49" s="121"/>
      <c r="N49" s="120"/>
      <c r="O49" s="120"/>
      <c r="P49" s="119"/>
      <c r="Q49" s="118"/>
      <c r="R49" s="118"/>
      <c r="S49" s="117"/>
      <c r="T49" s="116"/>
      <c r="U49" s="115"/>
      <c r="V49" s="26"/>
      <c r="W49" s="26"/>
      <c r="X49" s="26"/>
      <c r="Y49" s="26"/>
      <c r="Z49" s="27"/>
      <c r="AA49" s="41"/>
      <c r="AB49" s="114"/>
    </row>
    <row r="50" spans="1:28" ht="20.100000000000001" customHeight="1">
      <c r="B50" s="109"/>
      <c r="C50" s="113"/>
      <c r="D50" s="2670" t="s">
        <v>18</v>
      </c>
      <c r="E50" s="2671"/>
      <c r="F50" s="2671"/>
      <c r="G50" s="2671"/>
      <c r="H50" s="2671"/>
      <c r="I50" s="2672"/>
      <c r="J50" s="2694" t="e">
        <f>VLOOKUP(A52,#REF!,6,FALSE)</f>
        <v>#REF!</v>
      </c>
      <c r="K50" s="2695"/>
      <c r="L50" s="112" t="s">
        <v>6</v>
      </c>
      <c r="M50" s="2696" t="s">
        <v>19</v>
      </c>
      <c r="N50" s="2697"/>
      <c r="O50" s="2697"/>
      <c r="P50" s="2697"/>
      <c r="Q50" s="2698"/>
      <c r="R50" s="111">
        <f>SUM(R14:R49)</f>
        <v>206.41894000000002</v>
      </c>
      <c r="S50" s="110" t="str">
        <f>L50</f>
        <v>t</v>
      </c>
      <c r="T50" s="106"/>
      <c r="U50" s="105"/>
    </row>
    <row r="51" spans="1:28" ht="20.100000000000001" customHeight="1">
      <c r="B51" s="109"/>
      <c r="C51" s="72"/>
      <c r="D51" s="2746" t="s">
        <v>20</v>
      </c>
      <c r="E51" s="2679"/>
      <c r="F51" s="2679"/>
      <c r="G51" s="2679"/>
      <c r="H51" s="2679"/>
      <c r="I51" s="2680"/>
      <c r="J51" s="2747" t="e">
        <f>R50/J50</f>
        <v>#REF!</v>
      </c>
      <c r="K51" s="2700"/>
      <c r="L51" s="2703"/>
      <c r="M51" s="2737" t="s">
        <v>21</v>
      </c>
      <c r="N51" s="2738"/>
      <c r="O51" s="2738"/>
      <c r="P51" s="2738"/>
      <c r="Q51" s="2739"/>
      <c r="R51" s="108">
        <f>SUM(R14)</f>
        <v>152.77444000000003</v>
      </c>
      <c r="S51" s="107" t="str">
        <f>L50</f>
        <v>t</v>
      </c>
      <c r="T51" s="106"/>
      <c r="U51" s="105"/>
    </row>
    <row r="52" spans="1:28" ht="20.100000000000001" customHeight="1">
      <c r="A52" s="12" t="s">
        <v>179</v>
      </c>
      <c r="B52" s="213"/>
      <c r="C52" s="73"/>
      <c r="D52" s="2670"/>
      <c r="E52" s="2671"/>
      <c r="F52" s="2671"/>
      <c r="G52" s="2671"/>
      <c r="H52" s="2671"/>
      <c r="I52" s="2672"/>
      <c r="J52" s="2701"/>
      <c r="K52" s="2702"/>
      <c r="L52" s="2704"/>
      <c r="M52" s="2737" t="s">
        <v>22</v>
      </c>
      <c r="N52" s="2738"/>
      <c r="O52" s="2738"/>
      <c r="P52" s="2738"/>
      <c r="Q52" s="2739"/>
      <c r="R52" s="103">
        <v>0</v>
      </c>
      <c r="S52" s="102" t="str">
        <f>L50</f>
        <v>t</v>
      </c>
      <c r="T52" s="101"/>
      <c r="U52" s="100"/>
    </row>
  </sheetData>
  <mergeCells count="32">
    <mergeCell ref="B1:U5"/>
    <mergeCell ref="V5:AA5"/>
    <mergeCell ref="B6:I6"/>
    <mergeCell ref="T8:U8"/>
    <mergeCell ref="B12:B13"/>
    <mergeCell ref="C12:C13"/>
    <mergeCell ref="D12:I12"/>
    <mergeCell ref="J12:J13"/>
    <mergeCell ref="K12:K13"/>
    <mergeCell ref="J6:U6"/>
    <mergeCell ref="U12:U13"/>
    <mergeCell ref="D13:F13"/>
    <mergeCell ref="G13:I13"/>
    <mergeCell ref="R12:R13"/>
    <mergeCell ref="S12:S13"/>
    <mergeCell ref="T12:T13"/>
    <mergeCell ref="T9:U9"/>
    <mergeCell ref="T10:U10"/>
    <mergeCell ref="C11:L11"/>
    <mergeCell ref="D51:I52"/>
    <mergeCell ref="J51:K52"/>
    <mergeCell ref="L51:L52"/>
    <mergeCell ref="M51:Q51"/>
    <mergeCell ref="M52:Q52"/>
    <mergeCell ref="D50:I50"/>
    <mergeCell ref="J50:K50"/>
    <mergeCell ref="M50:Q50"/>
    <mergeCell ref="N12:N13"/>
    <mergeCell ref="O12:O13"/>
    <mergeCell ref="Q12:Q13"/>
    <mergeCell ref="L12:L13"/>
    <mergeCell ref="M12:M13"/>
  </mergeCells>
  <conditionalFormatting sqref="J51:K52">
    <cfRule type="cellIs" dxfId="5" priority="1" operator="greaterThanOrEqual">
      <formula>1</formula>
    </cfRule>
    <cfRule type="cellIs" dxfId="4" priority="2" operator="greaterThan">
      <formula>100%</formula>
    </cfRule>
  </conditionalFormatting>
  <printOptions horizontalCentered="1"/>
  <pageMargins left="0.39370078740157483" right="0.39370078740157483" top="0.78740157480314965" bottom="0.78740157480314965" header="0" footer="0.19685039370078741"/>
  <pageSetup paperSize="9" scale="47" firstPageNumber="49" fitToHeight="0" orientation="landscape" useFirstPageNumber="1" r:id="rId1"/>
  <headerFooter>
    <oddFooter>&amp;L__________________________________________
Valdemar Júnior Moreira
Engº Residente - &amp;"-,Itálico"Consórcio EPV&amp;C&amp;P&amp;R__________________________________________
Paulo Maurício Ferrari
Engº Fiscal - &amp;"-,Itálico"SR-U</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B1:T62"/>
  <sheetViews>
    <sheetView view="pageBreakPreview" topLeftCell="A4" zoomScaleSheetLayoutView="100" workbookViewId="0">
      <selection activeCell="L26" sqref="L26:M26"/>
    </sheetView>
  </sheetViews>
  <sheetFormatPr defaultRowHeight="12.75"/>
  <cols>
    <col min="1" max="1" width="5.7109375" style="8" customWidth="1"/>
    <col min="2" max="2" width="23.42578125" style="8" customWidth="1"/>
    <col min="3" max="3" width="10.7109375" style="8" customWidth="1"/>
    <col min="4" max="4" width="1.85546875" style="8" bestFit="1" customWidth="1"/>
    <col min="5" max="5" width="10.7109375" style="8" customWidth="1"/>
    <col min="6" max="6" width="12.7109375" style="8" customWidth="1"/>
    <col min="7" max="8" width="14.7109375" style="8" customWidth="1"/>
    <col min="9" max="9" width="20.7109375" style="8" customWidth="1"/>
    <col min="10" max="10" width="12.7109375" style="8" customWidth="1"/>
    <col min="11" max="11" width="15.85546875" style="8" bestFit="1" customWidth="1"/>
    <col min="12" max="12" width="12.7109375" style="8" customWidth="1"/>
    <col min="13" max="13" width="16" style="8" bestFit="1" customWidth="1"/>
    <col min="14" max="14" width="15.7109375" style="8" customWidth="1"/>
    <col min="15" max="15" width="16.7109375" style="8" customWidth="1"/>
    <col min="16" max="16" width="17.28515625" style="8" customWidth="1"/>
    <col min="17" max="17" width="11.28515625" style="8" bestFit="1" customWidth="1"/>
    <col min="18" max="18" width="2" style="8" bestFit="1" customWidth="1"/>
    <col min="19" max="19" width="11.28515625" style="8" bestFit="1" customWidth="1"/>
    <col min="20" max="258" width="9.140625" style="8"/>
    <col min="259" max="259" width="16.42578125" style="8" customWidth="1"/>
    <col min="260" max="260" width="15.7109375" style="8" customWidth="1"/>
    <col min="261" max="263" width="14.7109375" style="8" customWidth="1"/>
    <col min="264" max="264" width="15.28515625" style="8" customWidth="1"/>
    <col min="265" max="266" width="14.7109375" style="8" customWidth="1"/>
    <col min="267" max="267" width="14" style="8" customWidth="1"/>
    <col min="268" max="268" width="13.42578125" style="8" customWidth="1"/>
    <col min="269" max="271" width="14.7109375" style="8" customWidth="1"/>
    <col min="272" max="514" width="9.140625" style="8"/>
    <col min="515" max="515" width="16.42578125" style="8" customWidth="1"/>
    <col min="516" max="516" width="15.7109375" style="8" customWidth="1"/>
    <col min="517" max="519" width="14.7109375" style="8" customWidth="1"/>
    <col min="520" max="520" width="15.28515625" style="8" customWidth="1"/>
    <col min="521" max="522" width="14.7109375" style="8" customWidth="1"/>
    <col min="523" max="523" width="14" style="8" customWidth="1"/>
    <col min="524" max="524" width="13.42578125" style="8" customWidth="1"/>
    <col min="525" max="527" width="14.7109375" style="8" customWidth="1"/>
    <col min="528" max="770" width="9.140625" style="8"/>
    <col min="771" max="771" width="16.42578125" style="8" customWidth="1"/>
    <col min="772" max="772" width="15.7109375" style="8" customWidth="1"/>
    <col min="773" max="775" width="14.7109375" style="8" customWidth="1"/>
    <col min="776" max="776" width="15.28515625" style="8" customWidth="1"/>
    <col min="777" max="778" width="14.7109375" style="8" customWidth="1"/>
    <col min="779" max="779" width="14" style="8" customWidth="1"/>
    <col min="780" max="780" width="13.42578125" style="8" customWidth="1"/>
    <col min="781" max="783" width="14.7109375" style="8" customWidth="1"/>
    <col min="784" max="1026" width="9.140625" style="8"/>
    <col min="1027" max="1027" width="16.42578125" style="8" customWidth="1"/>
    <col min="1028" max="1028" width="15.7109375" style="8" customWidth="1"/>
    <col min="1029" max="1031" width="14.7109375" style="8" customWidth="1"/>
    <col min="1032" max="1032" width="15.28515625" style="8" customWidth="1"/>
    <col min="1033" max="1034" width="14.7109375" style="8" customWidth="1"/>
    <col min="1035" max="1035" width="14" style="8" customWidth="1"/>
    <col min="1036" max="1036" width="13.42578125" style="8" customWidth="1"/>
    <col min="1037" max="1039" width="14.7109375" style="8" customWidth="1"/>
    <col min="1040" max="1282" width="9.140625" style="8"/>
    <col min="1283" max="1283" width="16.42578125" style="8" customWidth="1"/>
    <col min="1284" max="1284" width="15.7109375" style="8" customWidth="1"/>
    <col min="1285" max="1287" width="14.7109375" style="8" customWidth="1"/>
    <col min="1288" max="1288" width="15.28515625" style="8" customWidth="1"/>
    <col min="1289" max="1290" width="14.7109375" style="8" customWidth="1"/>
    <col min="1291" max="1291" width="14" style="8" customWidth="1"/>
    <col min="1292" max="1292" width="13.42578125" style="8" customWidth="1"/>
    <col min="1293" max="1295" width="14.7109375" style="8" customWidth="1"/>
    <col min="1296" max="1538" width="9.140625" style="8"/>
    <col min="1539" max="1539" width="16.42578125" style="8" customWidth="1"/>
    <col min="1540" max="1540" width="15.7109375" style="8" customWidth="1"/>
    <col min="1541" max="1543" width="14.7109375" style="8" customWidth="1"/>
    <col min="1544" max="1544" width="15.28515625" style="8" customWidth="1"/>
    <col min="1545" max="1546" width="14.7109375" style="8" customWidth="1"/>
    <col min="1547" max="1547" width="14" style="8" customWidth="1"/>
    <col min="1548" max="1548" width="13.42578125" style="8" customWidth="1"/>
    <col min="1549" max="1551" width="14.7109375" style="8" customWidth="1"/>
    <col min="1552" max="1794" width="9.140625" style="8"/>
    <col min="1795" max="1795" width="16.42578125" style="8" customWidth="1"/>
    <col min="1796" max="1796" width="15.7109375" style="8" customWidth="1"/>
    <col min="1797" max="1799" width="14.7109375" style="8" customWidth="1"/>
    <col min="1800" max="1800" width="15.28515625" style="8" customWidth="1"/>
    <col min="1801" max="1802" width="14.7109375" style="8" customWidth="1"/>
    <col min="1803" max="1803" width="14" style="8" customWidth="1"/>
    <col min="1804" max="1804" width="13.42578125" style="8" customWidth="1"/>
    <col min="1805" max="1807" width="14.7109375" style="8" customWidth="1"/>
    <col min="1808" max="2050" width="9.140625" style="8"/>
    <col min="2051" max="2051" width="16.42578125" style="8" customWidth="1"/>
    <col min="2052" max="2052" width="15.7109375" style="8" customWidth="1"/>
    <col min="2053" max="2055" width="14.7109375" style="8" customWidth="1"/>
    <col min="2056" max="2056" width="15.28515625" style="8" customWidth="1"/>
    <col min="2057" max="2058" width="14.7109375" style="8" customWidth="1"/>
    <col min="2059" max="2059" width="14" style="8" customWidth="1"/>
    <col min="2060" max="2060" width="13.42578125" style="8" customWidth="1"/>
    <col min="2061" max="2063" width="14.7109375" style="8" customWidth="1"/>
    <col min="2064" max="2306" width="9.140625" style="8"/>
    <col min="2307" max="2307" width="16.42578125" style="8" customWidth="1"/>
    <col min="2308" max="2308" width="15.7109375" style="8" customWidth="1"/>
    <col min="2309" max="2311" width="14.7109375" style="8" customWidth="1"/>
    <col min="2312" max="2312" width="15.28515625" style="8" customWidth="1"/>
    <col min="2313" max="2314" width="14.7109375" style="8" customWidth="1"/>
    <col min="2315" max="2315" width="14" style="8" customWidth="1"/>
    <col min="2316" max="2316" width="13.42578125" style="8" customWidth="1"/>
    <col min="2317" max="2319" width="14.7109375" style="8" customWidth="1"/>
    <col min="2320" max="2562" width="9.140625" style="8"/>
    <col min="2563" max="2563" width="16.42578125" style="8" customWidth="1"/>
    <col min="2564" max="2564" width="15.7109375" style="8" customWidth="1"/>
    <col min="2565" max="2567" width="14.7109375" style="8" customWidth="1"/>
    <col min="2568" max="2568" width="15.28515625" style="8" customWidth="1"/>
    <col min="2569" max="2570" width="14.7109375" style="8" customWidth="1"/>
    <col min="2571" max="2571" width="14" style="8" customWidth="1"/>
    <col min="2572" max="2572" width="13.42578125" style="8" customWidth="1"/>
    <col min="2573" max="2575" width="14.7109375" style="8" customWidth="1"/>
    <col min="2576" max="2818" width="9.140625" style="8"/>
    <col min="2819" max="2819" width="16.42578125" style="8" customWidth="1"/>
    <col min="2820" max="2820" width="15.7109375" style="8" customWidth="1"/>
    <col min="2821" max="2823" width="14.7109375" style="8" customWidth="1"/>
    <col min="2824" max="2824" width="15.28515625" style="8" customWidth="1"/>
    <col min="2825" max="2826" width="14.7109375" style="8" customWidth="1"/>
    <col min="2827" max="2827" width="14" style="8" customWidth="1"/>
    <col min="2828" max="2828" width="13.42578125" style="8" customWidth="1"/>
    <col min="2829" max="2831" width="14.7109375" style="8" customWidth="1"/>
    <col min="2832" max="3074" width="9.140625" style="8"/>
    <col min="3075" max="3075" width="16.42578125" style="8" customWidth="1"/>
    <col min="3076" max="3076" width="15.7109375" style="8" customWidth="1"/>
    <col min="3077" max="3079" width="14.7109375" style="8" customWidth="1"/>
    <col min="3080" max="3080" width="15.28515625" style="8" customWidth="1"/>
    <col min="3081" max="3082" width="14.7109375" style="8" customWidth="1"/>
    <col min="3083" max="3083" width="14" style="8" customWidth="1"/>
    <col min="3084" max="3084" width="13.42578125" style="8" customWidth="1"/>
    <col min="3085" max="3087" width="14.7109375" style="8" customWidth="1"/>
    <col min="3088" max="3330" width="9.140625" style="8"/>
    <col min="3331" max="3331" width="16.42578125" style="8" customWidth="1"/>
    <col min="3332" max="3332" width="15.7109375" style="8" customWidth="1"/>
    <col min="3333" max="3335" width="14.7109375" style="8" customWidth="1"/>
    <col min="3336" max="3336" width="15.28515625" style="8" customWidth="1"/>
    <col min="3337" max="3338" width="14.7109375" style="8" customWidth="1"/>
    <col min="3339" max="3339" width="14" style="8" customWidth="1"/>
    <col min="3340" max="3340" width="13.42578125" style="8" customWidth="1"/>
    <col min="3341" max="3343" width="14.7109375" style="8" customWidth="1"/>
    <col min="3344" max="3586" width="9.140625" style="8"/>
    <col min="3587" max="3587" width="16.42578125" style="8" customWidth="1"/>
    <col min="3588" max="3588" width="15.7109375" style="8" customWidth="1"/>
    <col min="3589" max="3591" width="14.7109375" style="8" customWidth="1"/>
    <col min="3592" max="3592" width="15.28515625" style="8" customWidth="1"/>
    <col min="3593" max="3594" width="14.7109375" style="8" customWidth="1"/>
    <col min="3595" max="3595" width="14" style="8" customWidth="1"/>
    <col min="3596" max="3596" width="13.42578125" style="8" customWidth="1"/>
    <col min="3597" max="3599" width="14.7109375" style="8" customWidth="1"/>
    <col min="3600" max="3842" width="9.140625" style="8"/>
    <col min="3843" max="3843" width="16.42578125" style="8" customWidth="1"/>
    <col min="3844" max="3844" width="15.7109375" style="8" customWidth="1"/>
    <col min="3845" max="3847" width="14.7109375" style="8" customWidth="1"/>
    <col min="3848" max="3848" width="15.28515625" style="8" customWidth="1"/>
    <col min="3849" max="3850" width="14.7109375" style="8" customWidth="1"/>
    <col min="3851" max="3851" width="14" style="8" customWidth="1"/>
    <col min="3852" max="3852" width="13.42578125" style="8" customWidth="1"/>
    <col min="3853" max="3855" width="14.7109375" style="8" customWidth="1"/>
    <col min="3856" max="4098" width="9.140625" style="8"/>
    <col min="4099" max="4099" width="16.42578125" style="8" customWidth="1"/>
    <col min="4100" max="4100" width="15.7109375" style="8" customWidth="1"/>
    <col min="4101" max="4103" width="14.7109375" style="8" customWidth="1"/>
    <col min="4104" max="4104" width="15.28515625" style="8" customWidth="1"/>
    <col min="4105" max="4106" width="14.7109375" style="8" customWidth="1"/>
    <col min="4107" max="4107" width="14" style="8" customWidth="1"/>
    <col min="4108" max="4108" width="13.42578125" style="8" customWidth="1"/>
    <col min="4109" max="4111" width="14.7109375" style="8" customWidth="1"/>
    <col min="4112" max="4354" width="9.140625" style="8"/>
    <col min="4355" max="4355" width="16.42578125" style="8" customWidth="1"/>
    <col min="4356" max="4356" width="15.7109375" style="8" customWidth="1"/>
    <col min="4357" max="4359" width="14.7109375" style="8" customWidth="1"/>
    <col min="4360" max="4360" width="15.28515625" style="8" customWidth="1"/>
    <col min="4361" max="4362" width="14.7109375" style="8" customWidth="1"/>
    <col min="4363" max="4363" width="14" style="8" customWidth="1"/>
    <col min="4364" max="4364" width="13.42578125" style="8" customWidth="1"/>
    <col min="4365" max="4367" width="14.7109375" style="8" customWidth="1"/>
    <col min="4368" max="4610" width="9.140625" style="8"/>
    <col min="4611" max="4611" width="16.42578125" style="8" customWidth="1"/>
    <col min="4612" max="4612" width="15.7109375" style="8" customWidth="1"/>
    <col min="4613" max="4615" width="14.7109375" style="8" customWidth="1"/>
    <col min="4616" max="4616" width="15.28515625" style="8" customWidth="1"/>
    <col min="4617" max="4618" width="14.7109375" style="8" customWidth="1"/>
    <col min="4619" max="4619" width="14" style="8" customWidth="1"/>
    <col min="4620" max="4620" width="13.42578125" style="8" customWidth="1"/>
    <col min="4621" max="4623" width="14.7109375" style="8" customWidth="1"/>
    <col min="4624" max="4866" width="9.140625" style="8"/>
    <col min="4867" max="4867" width="16.42578125" style="8" customWidth="1"/>
    <col min="4868" max="4868" width="15.7109375" style="8" customWidth="1"/>
    <col min="4869" max="4871" width="14.7109375" style="8" customWidth="1"/>
    <col min="4872" max="4872" width="15.28515625" style="8" customWidth="1"/>
    <col min="4873" max="4874" width="14.7109375" style="8" customWidth="1"/>
    <col min="4875" max="4875" width="14" style="8" customWidth="1"/>
    <col min="4876" max="4876" width="13.42578125" style="8" customWidth="1"/>
    <col min="4877" max="4879" width="14.7109375" style="8" customWidth="1"/>
    <col min="4880" max="5122" width="9.140625" style="8"/>
    <col min="5123" max="5123" width="16.42578125" style="8" customWidth="1"/>
    <col min="5124" max="5124" width="15.7109375" style="8" customWidth="1"/>
    <col min="5125" max="5127" width="14.7109375" style="8" customWidth="1"/>
    <col min="5128" max="5128" width="15.28515625" style="8" customWidth="1"/>
    <col min="5129" max="5130" width="14.7109375" style="8" customWidth="1"/>
    <col min="5131" max="5131" width="14" style="8" customWidth="1"/>
    <col min="5132" max="5132" width="13.42578125" style="8" customWidth="1"/>
    <col min="5133" max="5135" width="14.7109375" style="8" customWidth="1"/>
    <col min="5136" max="5378" width="9.140625" style="8"/>
    <col min="5379" max="5379" width="16.42578125" style="8" customWidth="1"/>
    <col min="5380" max="5380" width="15.7109375" style="8" customWidth="1"/>
    <col min="5381" max="5383" width="14.7109375" style="8" customWidth="1"/>
    <col min="5384" max="5384" width="15.28515625" style="8" customWidth="1"/>
    <col min="5385" max="5386" width="14.7109375" style="8" customWidth="1"/>
    <col min="5387" max="5387" width="14" style="8" customWidth="1"/>
    <col min="5388" max="5388" width="13.42578125" style="8" customWidth="1"/>
    <col min="5389" max="5391" width="14.7109375" style="8" customWidth="1"/>
    <col min="5392" max="5634" width="9.140625" style="8"/>
    <col min="5635" max="5635" width="16.42578125" style="8" customWidth="1"/>
    <col min="5636" max="5636" width="15.7109375" style="8" customWidth="1"/>
    <col min="5637" max="5639" width="14.7109375" style="8" customWidth="1"/>
    <col min="5640" max="5640" width="15.28515625" style="8" customWidth="1"/>
    <col min="5641" max="5642" width="14.7109375" style="8" customWidth="1"/>
    <col min="5643" max="5643" width="14" style="8" customWidth="1"/>
    <col min="5644" max="5644" width="13.42578125" style="8" customWidth="1"/>
    <col min="5645" max="5647" width="14.7109375" style="8" customWidth="1"/>
    <col min="5648" max="5890" width="9.140625" style="8"/>
    <col min="5891" max="5891" width="16.42578125" style="8" customWidth="1"/>
    <col min="5892" max="5892" width="15.7109375" style="8" customWidth="1"/>
    <col min="5893" max="5895" width="14.7109375" style="8" customWidth="1"/>
    <col min="5896" max="5896" width="15.28515625" style="8" customWidth="1"/>
    <col min="5897" max="5898" width="14.7109375" style="8" customWidth="1"/>
    <col min="5899" max="5899" width="14" style="8" customWidth="1"/>
    <col min="5900" max="5900" width="13.42578125" style="8" customWidth="1"/>
    <col min="5901" max="5903" width="14.7109375" style="8" customWidth="1"/>
    <col min="5904" max="6146" width="9.140625" style="8"/>
    <col min="6147" max="6147" width="16.42578125" style="8" customWidth="1"/>
    <col min="6148" max="6148" width="15.7109375" style="8" customWidth="1"/>
    <col min="6149" max="6151" width="14.7109375" style="8" customWidth="1"/>
    <col min="6152" max="6152" width="15.28515625" style="8" customWidth="1"/>
    <col min="6153" max="6154" width="14.7109375" style="8" customWidth="1"/>
    <col min="6155" max="6155" width="14" style="8" customWidth="1"/>
    <col min="6156" max="6156" width="13.42578125" style="8" customWidth="1"/>
    <col min="6157" max="6159" width="14.7109375" style="8" customWidth="1"/>
    <col min="6160" max="6402" width="9.140625" style="8"/>
    <col min="6403" max="6403" width="16.42578125" style="8" customWidth="1"/>
    <col min="6404" max="6404" width="15.7109375" style="8" customWidth="1"/>
    <col min="6405" max="6407" width="14.7109375" style="8" customWidth="1"/>
    <col min="6408" max="6408" width="15.28515625" style="8" customWidth="1"/>
    <col min="6409" max="6410" width="14.7109375" style="8" customWidth="1"/>
    <col min="6411" max="6411" width="14" style="8" customWidth="1"/>
    <col min="6412" max="6412" width="13.42578125" style="8" customWidth="1"/>
    <col min="6413" max="6415" width="14.7109375" style="8" customWidth="1"/>
    <col min="6416" max="6658" width="9.140625" style="8"/>
    <col min="6659" max="6659" width="16.42578125" style="8" customWidth="1"/>
    <col min="6660" max="6660" width="15.7109375" style="8" customWidth="1"/>
    <col min="6661" max="6663" width="14.7109375" style="8" customWidth="1"/>
    <col min="6664" max="6664" width="15.28515625" style="8" customWidth="1"/>
    <col min="6665" max="6666" width="14.7109375" style="8" customWidth="1"/>
    <col min="6667" max="6667" width="14" style="8" customWidth="1"/>
    <col min="6668" max="6668" width="13.42578125" style="8" customWidth="1"/>
    <col min="6669" max="6671" width="14.7109375" style="8" customWidth="1"/>
    <col min="6672" max="6914" width="9.140625" style="8"/>
    <col min="6915" max="6915" width="16.42578125" style="8" customWidth="1"/>
    <col min="6916" max="6916" width="15.7109375" style="8" customWidth="1"/>
    <col min="6917" max="6919" width="14.7109375" style="8" customWidth="1"/>
    <col min="6920" max="6920" width="15.28515625" style="8" customWidth="1"/>
    <col min="6921" max="6922" width="14.7109375" style="8" customWidth="1"/>
    <col min="6923" max="6923" width="14" style="8" customWidth="1"/>
    <col min="6924" max="6924" width="13.42578125" style="8" customWidth="1"/>
    <col min="6925" max="6927" width="14.7109375" style="8" customWidth="1"/>
    <col min="6928" max="7170" width="9.140625" style="8"/>
    <col min="7171" max="7171" width="16.42578125" style="8" customWidth="1"/>
    <col min="7172" max="7172" width="15.7109375" style="8" customWidth="1"/>
    <col min="7173" max="7175" width="14.7109375" style="8" customWidth="1"/>
    <col min="7176" max="7176" width="15.28515625" style="8" customWidth="1"/>
    <col min="7177" max="7178" width="14.7109375" style="8" customWidth="1"/>
    <col min="7179" max="7179" width="14" style="8" customWidth="1"/>
    <col min="7180" max="7180" width="13.42578125" style="8" customWidth="1"/>
    <col min="7181" max="7183" width="14.7109375" style="8" customWidth="1"/>
    <col min="7184" max="7426" width="9.140625" style="8"/>
    <col min="7427" max="7427" width="16.42578125" style="8" customWidth="1"/>
    <col min="7428" max="7428" width="15.7109375" style="8" customWidth="1"/>
    <col min="7429" max="7431" width="14.7109375" style="8" customWidth="1"/>
    <col min="7432" max="7432" width="15.28515625" style="8" customWidth="1"/>
    <col min="7433" max="7434" width="14.7109375" style="8" customWidth="1"/>
    <col min="7435" max="7435" width="14" style="8" customWidth="1"/>
    <col min="7436" max="7436" width="13.42578125" style="8" customWidth="1"/>
    <col min="7437" max="7439" width="14.7109375" style="8" customWidth="1"/>
    <col min="7440" max="7682" width="9.140625" style="8"/>
    <col min="7683" max="7683" width="16.42578125" style="8" customWidth="1"/>
    <col min="7684" max="7684" width="15.7109375" style="8" customWidth="1"/>
    <col min="7685" max="7687" width="14.7109375" style="8" customWidth="1"/>
    <col min="7688" max="7688" width="15.28515625" style="8" customWidth="1"/>
    <col min="7689" max="7690" width="14.7109375" style="8" customWidth="1"/>
    <col min="7691" max="7691" width="14" style="8" customWidth="1"/>
    <col min="7692" max="7692" width="13.42578125" style="8" customWidth="1"/>
    <col min="7693" max="7695" width="14.7109375" style="8" customWidth="1"/>
    <col min="7696" max="7938" width="9.140625" style="8"/>
    <col min="7939" max="7939" width="16.42578125" style="8" customWidth="1"/>
    <col min="7940" max="7940" width="15.7109375" style="8" customWidth="1"/>
    <col min="7941" max="7943" width="14.7109375" style="8" customWidth="1"/>
    <col min="7944" max="7944" width="15.28515625" style="8" customWidth="1"/>
    <col min="7945" max="7946" width="14.7109375" style="8" customWidth="1"/>
    <col min="7947" max="7947" width="14" style="8" customWidth="1"/>
    <col min="7948" max="7948" width="13.42578125" style="8" customWidth="1"/>
    <col min="7949" max="7951" width="14.7109375" style="8" customWidth="1"/>
    <col min="7952" max="8194" width="9.140625" style="8"/>
    <col min="8195" max="8195" width="16.42578125" style="8" customWidth="1"/>
    <col min="8196" max="8196" width="15.7109375" style="8" customWidth="1"/>
    <col min="8197" max="8199" width="14.7109375" style="8" customWidth="1"/>
    <col min="8200" max="8200" width="15.28515625" style="8" customWidth="1"/>
    <col min="8201" max="8202" width="14.7109375" style="8" customWidth="1"/>
    <col min="8203" max="8203" width="14" style="8" customWidth="1"/>
    <col min="8204" max="8204" width="13.42578125" style="8" customWidth="1"/>
    <col min="8205" max="8207" width="14.7109375" style="8" customWidth="1"/>
    <col min="8208" max="8450" width="9.140625" style="8"/>
    <col min="8451" max="8451" width="16.42578125" style="8" customWidth="1"/>
    <col min="8452" max="8452" width="15.7109375" style="8" customWidth="1"/>
    <col min="8453" max="8455" width="14.7109375" style="8" customWidth="1"/>
    <col min="8456" max="8456" width="15.28515625" style="8" customWidth="1"/>
    <col min="8457" max="8458" width="14.7109375" style="8" customWidth="1"/>
    <col min="8459" max="8459" width="14" style="8" customWidth="1"/>
    <col min="8460" max="8460" width="13.42578125" style="8" customWidth="1"/>
    <col min="8461" max="8463" width="14.7109375" style="8" customWidth="1"/>
    <col min="8464" max="8706" width="9.140625" style="8"/>
    <col min="8707" max="8707" width="16.42578125" style="8" customWidth="1"/>
    <col min="8708" max="8708" width="15.7109375" style="8" customWidth="1"/>
    <col min="8709" max="8711" width="14.7109375" style="8" customWidth="1"/>
    <col min="8712" max="8712" width="15.28515625" style="8" customWidth="1"/>
    <col min="8713" max="8714" width="14.7109375" style="8" customWidth="1"/>
    <col min="8715" max="8715" width="14" style="8" customWidth="1"/>
    <col min="8716" max="8716" width="13.42578125" style="8" customWidth="1"/>
    <col min="8717" max="8719" width="14.7109375" style="8" customWidth="1"/>
    <col min="8720" max="8962" width="9.140625" style="8"/>
    <col min="8963" max="8963" width="16.42578125" style="8" customWidth="1"/>
    <col min="8964" max="8964" width="15.7109375" style="8" customWidth="1"/>
    <col min="8965" max="8967" width="14.7109375" style="8" customWidth="1"/>
    <col min="8968" max="8968" width="15.28515625" style="8" customWidth="1"/>
    <col min="8969" max="8970" width="14.7109375" style="8" customWidth="1"/>
    <col min="8971" max="8971" width="14" style="8" customWidth="1"/>
    <col min="8972" max="8972" width="13.42578125" style="8" customWidth="1"/>
    <col min="8973" max="8975" width="14.7109375" style="8" customWidth="1"/>
    <col min="8976" max="9218" width="9.140625" style="8"/>
    <col min="9219" max="9219" width="16.42578125" style="8" customWidth="1"/>
    <col min="9220" max="9220" width="15.7109375" style="8" customWidth="1"/>
    <col min="9221" max="9223" width="14.7109375" style="8" customWidth="1"/>
    <col min="9224" max="9224" width="15.28515625" style="8" customWidth="1"/>
    <col min="9225" max="9226" width="14.7109375" style="8" customWidth="1"/>
    <col min="9227" max="9227" width="14" style="8" customWidth="1"/>
    <col min="9228" max="9228" width="13.42578125" style="8" customWidth="1"/>
    <col min="9229" max="9231" width="14.7109375" style="8" customWidth="1"/>
    <col min="9232" max="9474" width="9.140625" style="8"/>
    <col min="9475" max="9475" width="16.42578125" style="8" customWidth="1"/>
    <col min="9476" max="9476" width="15.7109375" style="8" customWidth="1"/>
    <col min="9477" max="9479" width="14.7109375" style="8" customWidth="1"/>
    <col min="9480" max="9480" width="15.28515625" style="8" customWidth="1"/>
    <col min="9481" max="9482" width="14.7109375" style="8" customWidth="1"/>
    <col min="9483" max="9483" width="14" style="8" customWidth="1"/>
    <col min="9484" max="9484" width="13.42578125" style="8" customWidth="1"/>
    <col min="9485" max="9487" width="14.7109375" style="8" customWidth="1"/>
    <col min="9488" max="9730" width="9.140625" style="8"/>
    <col min="9731" max="9731" width="16.42578125" style="8" customWidth="1"/>
    <col min="9732" max="9732" width="15.7109375" style="8" customWidth="1"/>
    <col min="9733" max="9735" width="14.7109375" style="8" customWidth="1"/>
    <col min="9736" max="9736" width="15.28515625" style="8" customWidth="1"/>
    <col min="9737" max="9738" width="14.7109375" style="8" customWidth="1"/>
    <col min="9739" max="9739" width="14" style="8" customWidth="1"/>
    <col min="9740" max="9740" width="13.42578125" style="8" customWidth="1"/>
    <col min="9741" max="9743" width="14.7109375" style="8" customWidth="1"/>
    <col min="9744" max="9986" width="9.140625" style="8"/>
    <col min="9987" max="9987" width="16.42578125" style="8" customWidth="1"/>
    <col min="9988" max="9988" width="15.7109375" style="8" customWidth="1"/>
    <col min="9989" max="9991" width="14.7109375" style="8" customWidth="1"/>
    <col min="9992" max="9992" width="15.28515625" style="8" customWidth="1"/>
    <col min="9993" max="9994" width="14.7109375" style="8" customWidth="1"/>
    <col min="9995" max="9995" width="14" style="8" customWidth="1"/>
    <col min="9996" max="9996" width="13.42578125" style="8" customWidth="1"/>
    <col min="9997" max="9999" width="14.7109375" style="8" customWidth="1"/>
    <col min="10000" max="10242" width="9.140625" style="8"/>
    <col min="10243" max="10243" width="16.42578125" style="8" customWidth="1"/>
    <col min="10244" max="10244" width="15.7109375" style="8" customWidth="1"/>
    <col min="10245" max="10247" width="14.7109375" style="8" customWidth="1"/>
    <col min="10248" max="10248" width="15.28515625" style="8" customWidth="1"/>
    <col min="10249" max="10250" width="14.7109375" style="8" customWidth="1"/>
    <col min="10251" max="10251" width="14" style="8" customWidth="1"/>
    <col min="10252" max="10252" width="13.42578125" style="8" customWidth="1"/>
    <col min="10253" max="10255" width="14.7109375" style="8" customWidth="1"/>
    <col min="10256" max="10498" width="9.140625" style="8"/>
    <col min="10499" max="10499" width="16.42578125" style="8" customWidth="1"/>
    <col min="10500" max="10500" width="15.7109375" style="8" customWidth="1"/>
    <col min="10501" max="10503" width="14.7109375" style="8" customWidth="1"/>
    <col min="10504" max="10504" width="15.28515625" style="8" customWidth="1"/>
    <col min="10505" max="10506" width="14.7109375" style="8" customWidth="1"/>
    <col min="10507" max="10507" width="14" style="8" customWidth="1"/>
    <col min="10508" max="10508" width="13.42578125" style="8" customWidth="1"/>
    <col min="10509" max="10511" width="14.7109375" style="8" customWidth="1"/>
    <col min="10512" max="10754" width="9.140625" style="8"/>
    <col min="10755" max="10755" width="16.42578125" style="8" customWidth="1"/>
    <col min="10756" max="10756" width="15.7109375" style="8" customWidth="1"/>
    <col min="10757" max="10759" width="14.7109375" style="8" customWidth="1"/>
    <col min="10760" max="10760" width="15.28515625" style="8" customWidth="1"/>
    <col min="10761" max="10762" width="14.7109375" style="8" customWidth="1"/>
    <col min="10763" max="10763" width="14" style="8" customWidth="1"/>
    <col min="10764" max="10764" width="13.42578125" style="8" customWidth="1"/>
    <col min="10765" max="10767" width="14.7109375" style="8" customWidth="1"/>
    <col min="10768" max="11010" width="9.140625" style="8"/>
    <col min="11011" max="11011" width="16.42578125" style="8" customWidth="1"/>
    <col min="11012" max="11012" width="15.7109375" style="8" customWidth="1"/>
    <col min="11013" max="11015" width="14.7109375" style="8" customWidth="1"/>
    <col min="11016" max="11016" width="15.28515625" style="8" customWidth="1"/>
    <col min="11017" max="11018" width="14.7109375" style="8" customWidth="1"/>
    <col min="11019" max="11019" width="14" style="8" customWidth="1"/>
    <col min="11020" max="11020" width="13.42578125" style="8" customWidth="1"/>
    <col min="11021" max="11023" width="14.7109375" style="8" customWidth="1"/>
    <col min="11024" max="11266" width="9.140625" style="8"/>
    <col min="11267" max="11267" width="16.42578125" style="8" customWidth="1"/>
    <col min="11268" max="11268" width="15.7109375" style="8" customWidth="1"/>
    <col min="11269" max="11271" width="14.7109375" style="8" customWidth="1"/>
    <col min="11272" max="11272" width="15.28515625" style="8" customWidth="1"/>
    <col min="11273" max="11274" width="14.7109375" style="8" customWidth="1"/>
    <col min="11275" max="11275" width="14" style="8" customWidth="1"/>
    <col min="11276" max="11276" width="13.42578125" style="8" customWidth="1"/>
    <col min="11277" max="11279" width="14.7109375" style="8" customWidth="1"/>
    <col min="11280" max="11522" width="9.140625" style="8"/>
    <col min="11523" max="11523" width="16.42578125" style="8" customWidth="1"/>
    <col min="11524" max="11524" width="15.7109375" style="8" customWidth="1"/>
    <col min="11525" max="11527" width="14.7109375" style="8" customWidth="1"/>
    <col min="11528" max="11528" width="15.28515625" style="8" customWidth="1"/>
    <col min="11529" max="11530" width="14.7109375" style="8" customWidth="1"/>
    <col min="11531" max="11531" width="14" style="8" customWidth="1"/>
    <col min="11532" max="11532" width="13.42578125" style="8" customWidth="1"/>
    <col min="11533" max="11535" width="14.7109375" style="8" customWidth="1"/>
    <col min="11536" max="11778" width="9.140625" style="8"/>
    <col min="11779" max="11779" width="16.42578125" style="8" customWidth="1"/>
    <col min="11780" max="11780" width="15.7109375" style="8" customWidth="1"/>
    <col min="11781" max="11783" width="14.7109375" style="8" customWidth="1"/>
    <col min="11784" max="11784" width="15.28515625" style="8" customWidth="1"/>
    <col min="11785" max="11786" width="14.7109375" style="8" customWidth="1"/>
    <col min="11787" max="11787" width="14" style="8" customWidth="1"/>
    <col min="11788" max="11788" width="13.42578125" style="8" customWidth="1"/>
    <col min="11789" max="11791" width="14.7109375" style="8" customWidth="1"/>
    <col min="11792" max="12034" width="9.140625" style="8"/>
    <col min="12035" max="12035" width="16.42578125" style="8" customWidth="1"/>
    <col min="12036" max="12036" width="15.7109375" style="8" customWidth="1"/>
    <col min="12037" max="12039" width="14.7109375" style="8" customWidth="1"/>
    <col min="12040" max="12040" width="15.28515625" style="8" customWidth="1"/>
    <col min="12041" max="12042" width="14.7109375" style="8" customWidth="1"/>
    <col min="12043" max="12043" width="14" style="8" customWidth="1"/>
    <col min="12044" max="12044" width="13.42578125" style="8" customWidth="1"/>
    <col min="12045" max="12047" width="14.7109375" style="8" customWidth="1"/>
    <col min="12048" max="12290" width="9.140625" style="8"/>
    <col min="12291" max="12291" width="16.42578125" style="8" customWidth="1"/>
    <col min="12292" max="12292" width="15.7109375" style="8" customWidth="1"/>
    <col min="12293" max="12295" width="14.7109375" style="8" customWidth="1"/>
    <col min="12296" max="12296" width="15.28515625" style="8" customWidth="1"/>
    <col min="12297" max="12298" width="14.7109375" style="8" customWidth="1"/>
    <col min="12299" max="12299" width="14" style="8" customWidth="1"/>
    <col min="12300" max="12300" width="13.42578125" style="8" customWidth="1"/>
    <col min="12301" max="12303" width="14.7109375" style="8" customWidth="1"/>
    <col min="12304" max="12546" width="9.140625" style="8"/>
    <col min="12547" max="12547" width="16.42578125" style="8" customWidth="1"/>
    <col min="12548" max="12548" width="15.7109375" style="8" customWidth="1"/>
    <col min="12549" max="12551" width="14.7109375" style="8" customWidth="1"/>
    <col min="12552" max="12552" width="15.28515625" style="8" customWidth="1"/>
    <col min="12553" max="12554" width="14.7109375" style="8" customWidth="1"/>
    <col min="12555" max="12555" width="14" style="8" customWidth="1"/>
    <col min="12556" max="12556" width="13.42578125" style="8" customWidth="1"/>
    <col min="12557" max="12559" width="14.7109375" style="8" customWidth="1"/>
    <col min="12560" max="12802" width="9.140625" style="8"/>
    <col min="12803" max="12803" width="16.42578125" style="8" customWidth="1"/>
    <col min="12804" max="12804" width="15.7109375" style="8" customWidth="1"/>
    <col min="12805" max="12807" width="14.7109375" style="8" customWidth="1"/>
    <col min="12808" max="12808" width="15.28515625" style="8" customWidth="1"/>
    <col min="12809" max="12810" width="14.7109375" style="8" customWidth="1"/>
    <col min="12811" max="12811" width="14" style="8" customWidth="1"/>
    <col min="12812" max="12812" width="13.42578125" style="8" customWidth="1"/>
    <col min="12813" max="12815" width="14.7109375" style="8" customWidth="1"/>
    <col min="12816" max="13058" width="9.140625" style="8"/>
    <col min="13059" max="13059" width="16.42578125" style="8" customWidth="1"/>
    <col min="13060" max="13060" width="15.7109375" style="8" customWidth="1"/>
    <col min="13061" max="13063" width="14.7109375" style="8" customWidth="1"/>
    <col min="13064" max="13064" width="15.28515625" style="8" customWidth="1"/>
    <col min="13065" max="13066" width="14.7109375" style="8" customWidth="1"/>
    <col min="13067" max="13067" width="14" style="8" customWidth="1"/>
    <col min="13068" max="13068" width="13.42578125" style="8" customWidth="1"/>
    <col min="13069" max="13071" width="14.7109375" style="8" customWidth="1"/>
    <col min="13072" max="13314" width="9.140625" style="8"/>
    <col min="13315" max="13315" width="16.42578125" style="8" customWidth="1"/>
    <col min="13316" max="13316" width="15.7109375" style="8" customWidth="1"/>
    <col min="13317" max="13319" width="14.7109375" style="8" customWidth="1"/>
    <col min="13320" max="13320" width="15.28515625" style="8" customWidth="1"/>
    <col min="13321" max="13322" width="14.7109375" style="8" customWidth="1"/>
    <col min="13323" max="13323" width="14" style="8" customWidth="1"/>
    <col min="13324" max="13324" width="13.42578125" style="8" customWidth="1"/>
    <col min="13325" max="13327" width="14.7109375" style="8" customWidth="1"/>
    <col min="13328" max="13570" width="9.140625" style="8"/>
    <col min="13571" max="13571" width="16.42578125" style="8" customWidth="1"/>
    <col min="13572" max="13572" width="15.7109375" style="8" customWidth="1"/>
    <col min="13573" max="13575" width="14.7109375" style="8" customWidth="1"/>
    <col min="13576" max="13576" width="15.28515625" style="8" customWidth="1"/>
    <col min="13577" max="13578" width="14.7109375" style="8" customWidth="1"/>
    <col min="13579" max="13579" width="14" style="8" customWidth="1"/>
    <col min="13580" max="13580" width="13.42578125" style="8" customWidth="1"/>
    <col min="13581" max="13583" width="14.7109375" style="8" customWidth="1"/>
    <col min="13584" max="13826" width="9.140625" style="8"/>
    <col min="13827" max="13827" width="16.42578125" style="8" customWidth="1"/>
    <col min="13828" max="13828" width="15.7109375" style="8" customWidth="1"/>
    <col min="13829" max="13831" width="14.7109375" style="8" customWidth="1"/>
    <col min="13832" max="13832" width="15.28515625" style="8" customWidth="1"/>
    <col min="13833" max="13834" width="14.7109375" style="8" customWidth="1"/>
    <col min="13835" max="13835" width="14" style="8" customWidth="1"/>
    <col min="13836" max="13836" width="13.42578125" style="8" customWidth="1"/>
    <col min="13837" max="13839" width="14.7109375" style="8" customWidth="1"/>
    <col min="13840" max="14082" width="9.140625" style="8"/>
    <col min="14083" max="14083" width="16.42578125" style="8" customWidth="1"/>
    <col min="14084" max="14084" width="15.7109375" style="8" customWidth="1"/>
    <col min="14085" max="14087" width="14.7109375" style="8" customWidth="1"/>
    <col min="14088" max="14088" width="15.28515625" style="8" customWidth="1"/>
    <col min="14089" max="14090" width="14.7109375" style="8" customWidth="1"/>
    <col min="14091" max="14091" width="14" style="8" customWidth="1"/>
    <col min="14092" max="14092" width="13.42578125" style="8" customWidth="1"/>
    <col min="14093" max="14095" width="14.7109375" style="8" customWidth="1"/>
    <col min="14096" max="14338" width="9.140625" style="8"/>
    <col min="14339" max="14339" width="16.42578125" style="8" customWidth="1"/>
    <col min="14340" max="14340" width="15.7109375" style="8" customWidth="1"/>
    <col min="14341" max="14343" width="14.7109375" style="8" customWidth="1"/>
    <col min="14344" max="14344" width="15.28515625" style="8" customWidth="1"/>
    <col min="14345" max="14346" width="14.7109375" style="8" customWidth="1"/>
    <col min="14347" max="14347" width="14" style="8" customWidth="1"/>
    <col min="14348" max="14348" width="13.42578125" style="8" customWidth="1"/>
    <col min="14349" max="14351" width="14.7109375" style="8" customWidth="1"/>
    <col min="14352" max="14594" width="9.140625" style="8"/>
    <col min="14595" max="14595" width="16.42578125" style="8" customWidth="1"/>
    <col min="14596" max="14596" width="15.7109375" style="8" customWidth="1"/>
    <col min="14597" max="14599" width="14.7109375" style="8" customWidth="1"/>
    <col min="14600" max="14600" width="15.28515625" style="8" customWidth="1"/>
    <col min="14601" max="14602" width="14.7109375" style="8" customWidth="1"/>
    <col min="14603" max="14603" width="14" style="8" customWidth="1"/>
    <col min="14604" max="14604" width="13.42578125" style="8" customWidth="1"/>
    <col min="14605" max="14607" width="14.7109375" style="8" customWidth="1"/>
    <col min="14608" max="14850" width="9.140625" style="8"/>
    <col min="14851" max="14851" width="16.42578125" style="8" customWidth="1"/>
    <col min="14852" max="14852" width="15.7109375" style="8" customWidth="1"/>
    <col min="14853" max="14855" width="14.7109375" style="8" customWidth="1"/>
    <col min="14856" max="14856" width="15.28515625" style="8" customWidth="1"/>
    <col min="14857" max="14858" width="14.7109375" style="8" customWidth="1"/>
    <col min="14859" max="14859" width="14" style="8" customWidth="1"/>
    <col min="14860" max="14860" width="13.42578125" style="8" customWidth="1"/>
    <col min="14861" max="14863" width="14.7109375" style="8" customWidth="1"/>
    <col min="14864" max="15106" width="9.140625" style="8"/>
    <col min="15107" max="15107" width="16.42578125" style="8" customWidth="1"/>
    <col min="15108" max="15108" width="15.7109375" style="8" customWidth="1"/>
    <col min="15109" max="15111" width="14.7109375" style="8" customWidth="1"/>
    <col min="15112" max="15112" width="15.28515625" style="8" customWidth="1"/>
    <col min="15113" max="15114" width="14.7109375" style="8" customWidth="1"/>
    <col min="15115" max="15115" width="14" style="8" customWidth="1"/>
    <col min="15116" max="15116" width="13.42578125" style="8" customWidth="1"/>
    <col min="15117" max="15119" width="14.7109375" style="8" customWidth="1"/>
    <col min="15120" max="15362" width="9.140625" style="8"/>
    <col min="15363" max="15363" width="16.42578125" style="8" customWidth="1"/>
    <col min="15364" max="15364" width="15.7109375" style="8" customWidth="1"/>
    <col min="15365" max="15367" width="14.7109375" style="8" customWidth="1"/>
    <col min="15368" max="15368" width="15.28515625" style="8" customWidth="1"/>
    <col min="15369" max="15370" width="14.7109375" style="8" customWidth="1"/>
    <col min="15371" max="15371" width="14" style="8" customWidth="1"/>
    <col min="15372" max="15372" width="13.42578125" style="8" customWidth="1"/>
    <col min="15373" max="15375" width="14.7109375" style="8" customWidth="1"/>
    <col min="15376" max="15618" width="9.140625" style="8"/>
    <col min="15619" max="15619" width="16.42578125" style="8" customWidth="1"/>
    <col min="15620" max="15620" width="15.7109375" style="8" customWidth="1"/>
    <col min="15621" max="15623" width="14.7109375" style="8" customWidth="1"/>
    <col min="15624" max="15624" width="15.28515625" style="8" customWidth="1"/>
    <col min="15625" max="15626" width="14.7109375" style="8" customWidth="1"/>
    <col min="15627" max="15627" width="14" style="8" customWidth="1"/>
    <col min="15628" max="15628" width="13.42578125" style="8" customWidth="1"/>
    <col min="15629" max="15631" width="14.7109375" style="8" customWidth="1"/>
    <col min="15632" max="15874" width="9.140625" style="8"/>
    <col min="15875" max="15875" width="16.42578125" style="8" customWidth="1"/>
    <col min="15876" max="15876" width="15.7109375" style="8" customWidth="1"/>
    <col min="15877" max="15879" width="14.7109375" style="8" customWidth="1"/>
    <col min="15880" max="15880" width="15.28515625" style="8" customWidth="1"/>
    <col min="15881" max="15882" width="14.7109375" style="8" customWidth="1"/>
    <col min="15883" max="15883" width="14" style="8" customWidth="1"/>
    <col min="15884" max="15884" width="13.42578125" style="8" customWidth="1"/>
    <col min="15885" max="15887" width="14.7109375" style="8" customWidth="1"/>
    <col min="15888" max="16130" width="9.140625" style="8"/>
    <col min="16131" max="16131" width="16.42578125" style="8" customWidth="1"/>
    <col min="16132" max="16132" width="15.7109375" style="8" customWidth="1"/>
    <col min="16133" max="16135" width="14.7109375" style="8" customWidth="1"/>
    <col min="16136" max="16136" width="15.28515625" style="8" customWidth="1"/>
    <col min="16137" max="16138" width="14.7109375" style="8" customWidth="1"/>
    <col min="16139" max="16139" width="14" style="8" customWidth="1"/>
    <col min="16140" max="16140" width="13.42578125" style="8" customWidth="1"/>
    <col min="16141" max="16143" width="14.7109375" style="8" customWidth="1"/>
    <col min="16144" max="16384" width="9.140625" style="8"/>
  </cols>
  <sheetData>
    <row r="1" spans="2:20" ht="23.25" customHeight="1">
      <c r="B1" s="2312" t="s">
        <v>534</v>
      </c>
      <c r="C1" s="2313"/>
      <c r="D1" s="2313"/>
      <c r="E1" s="2314"/>
      <c r="F1" s="2314"/>
      <c r="G1" s="2314"/>
      <c r="H1" s="2314"/>
      <c r="I1" s="2314"/>
      <c r="J1" s="2314"/>
      <c r="K1" s="2314"/>
      <c r="L1" s="2314"/>
      <c r="M1" s="2314"/>
      <c r="N1" s="2314"/>
      <c r="O1" s="2315"/>
    </row>
    <row r="2" spans="2:20" s="12" customFormat="1" ht="15.95" customHeight="1">
      <c r="B2" s="2316" t="s">
        <v>54</v>
      </c>
      <c r="C2" s="2317"/>
      <c r="D2" s="2317"/>
      <c r="E2" s="2317"/>
      <c r="F2" s="2318"/>
      <c r="G2" s="2316" t="s">
        <v>236</v>
      </c>
      <c r="H2" s="2317"/>
      <c r="I2" s="2318"/>
      <c r="J2" s="2316" t="s">
        <v>237</v>
      </c>
      <c r="K2" s="2317"/>
      <c r="L2" s="2318"/>
      <c r="M2" s="2316" t="s">
        <v>238</v>
      </c>
      <c r="N2" s="2317"/>
      <c r="O2" s="2318"/>
    </row>
    <row r="3" spans="2:20" s="12" customFormat="1" ht="15.95" customHeight="1">
      <c r="B3" s="383" t="s">
        <v>51</v>
      </c>
      <c r="C3" s="2319" t="s">
        <v>52</v>
      </c>
      <c r="D3" s="2320"/>
      <c r="E3" s="2321"/>
      <c r="F3" s="264" t="s">
        <v>53</v>
      </c>
      <c r="G3" s="265" t="s">
        <v>51</v>
      </c>
      <c r="H3" s="266" t="s">
        <v>52</v>
      </c>
      <c r="I3" s="267" t="s">
        <v>53</v>
      </c>
      <c r="J3" s="265" t="s">
        <v>51</v>
      </c>
      <c r="K3" s="266" t="s">
        <v>52</v>
      </c>
      <c r="L3" s="267" t="s">
        <v>53</v>
      </c>
      <c r="M3" s="265" t="s">
        <v>51</v>
      </c>
      <c r="N3" s="266" t="s">
        <v>52</v>
      </c>
      <c r="O3" s="267" t="s">
        <v>53</v>
      </c>
    </row>
    <row r="4" spans="2:20" s="12" customFormat="1" ht="15.95" customHeight="1">
      <c r="B4" s="996">
        <f>'00'!I29</f>
        <v>2903914.82</v>
      </c>
      <c r="C4" s="2322">
        <v>183</v>
      </c>
      <c r="D4" s="2323"/>
      <c r="E4" s="2324"/>
      <c r="F4" s="268">
        <f>'00'!AB23</f>
        <v>44784</v>
      </c>
      <c r="G4" s="269"/>
      <c r="H4" s="1241">
        <v>90</v>
      </c>
      <c r="I4" s="270">
        <v>45000</v>
      </c>
      <c r="J4" s="269">
        <v>716373.96</v>
      </c>
      <c r="K4" s="1241"/>
      <c r="L4" s="270">
        <v>45117</v>
      </c>
      <c r="M4" s="269"/>
      <c r="N4" s="1241">
        <v>30</v>
      </c>
      <c r="O4" s="270"/>
      <c r="Q4" s="271"/>
    </row>
    <row r="5" spans="2:20" s="12" customFormat="1" ht="55.5" customHeight="1">
      <c r="B5" s="2325" t="s">
        <v>239</v>
      </c>
      <c r="C5" s="2326"/>
      <c r="D5" s="2326"/>
      <c r="E5" s="2326"/>
      <c r="F5" s="2326"/>
      <c r="G5" s="2336" t="s">
        <v>1094</v>
      </c>
      <c r="H5" s="2337"/>
      <c r="I5" s="2338"/>
      <c r="J5" s="2336" t="s">
        <v>1096</v>
      </c>
      <c r="K5" s="2337"/>
      <c r="L5" s="2338"/>
      <c r="M5" s="2336" t="s">
        <v>1095</v>
      </c>
      <c r="N5" s="2337"/>
      <c r="O5" s="2338"/>
    </row>
    <row r="6" spans="2:20" s="12" customFormat="1" ht="9.75" customHeight="1">
      <c r="B6" s="2329"/>
      <c r="C6" s="2329"/>
      <c r="D6" s="2329"/>
      <c r="E6" s="2329"/>
      <c r="F6" s="2329"/>
      <c r="G6" s="2329"/>
      <c r="H6" s="2329"/>
      <c r="I6" s="2329"/>
      <c r="J6" s="2329"/>
      <c r="K6" s="2329"/>
      <c r="L6" s="2329"/>
      <c r="M6" s="2329"/>
      <c r="N6" s="2329"/>
      <c r="O6" s="2329"/>
    </row>
    <row r="7" spans="2:20" s="12" customFormat="1" ht="19.5" customHeight="1">
      <c r="B7" s="2330" t="s">
        <v>55</v>
      </c>
      <c r="C7" s="2330"/>
      <c r="D7" s="2330"/>
      <c r="E7" s="2330"/>
      <c r="F7" s="2330"/>
      <c r="G7" s="2330"/>
      <c r="H7" s="2330"/>
      <c r="I7" s="2330"/>
      <c r="J7" s="2330"/>
      <c r="K7" s="2330"/>
      <c r="L7" s="2330"/>
      <c r="M7" s="2330"/>
      <c r="N7" s="2330"/>
      <c r="O7" s="2330"/>
    </row>
    <row r="8" spans="2:20" s="272" customFormat="1" ht="15.75">
      <c r="B8" s="2331" t="s">
        <v>56</v>
      </c>
      <c r="C8" s="2378" t="s">
        <v>240</v>
      </c>
      <c r="D8" s="2379"/>
      <c r="E8" s="2380"/>
      <c r="F8" s="2333" t="s">
        <v>241</v>
      </c>
      <c r="G8" s="2335" t="s">
        <v>242</v>
      </c>
      <c r="H8" s="2335"/>
      <c r="I8" s="2335"/>
      <c r="J8" s="2335"/>
      <c r="K8" s="2335"/>
      <c r="L8" s="2370" t="s">
        <v>243</v>
      </c>
      <c r="M8" s="2371"/>
      <c r="N8" s="2335" t="s">
        <v>244</v>
      </c>
      <c r="O8" s="2335"/>
      <c r="P8" s="1732"/>
      <c r="Q8" s="273"/>
      <c r="S8" s="273"/>
    </row>
    <row r="9" spans="2:20" s="272" customFormat="1" ht="25.5">
      <c r="B9" s="2332"/>
      <c r="C9" s="2381"/>
      <c r="D9" s="2382"/>
      <c r="E9" s="2383"/>
      <c r="F9" s="2334"/>
      <c r="G9" s="384" t="s">
        <v>245</v>
      </c>
      <c r="H9" s="384" t="s">
        <v>246</v>
      </c>
      <c r="I9" s="384" t="s">
        <v>247</v>
      </c>
      <c r="J9" s="384" t="s">
        <v>248</v>
      </c>
      <c r="K9" s="384" t="s">
        <v>249</v>
      </c>
      <c r="L9" s="2372"/>
      <c r="M9" s="2373"/>
      <c r="N9" s="384" t="s">
        <v>57</v>
      </c>
      <c r="O9" s="384" t="s">
        <v>250</v>
      </c>
      <c r="P9" s="1732"/>
    </row>
    <row r="10" spans="2:20" s="1295" customFormat="1" ht="15.75">
      <c r="B10" s="1582">
        <v>1</v>
      </c>
      <c r="C10" s="1557">
        <v>44819</v>
      </c>
      <c r="D10" s="1558" t="s">
        <v>58</v>
      </c>
      <c r="E10" s="1557">
        <v>44895</v>
      </c>
      <c r="F10" s="1559">
        <f>((E10-C10)+1)</f>
        <v>77</v>
      </c>
      <c r="G10" s="1560">
        <v>504354.82999999996</v>
      </c>
      <c r="H10" s="1560">
        <f>G10</f>
        <v>504354.82999999996</v>
      </c>
      <c r="I10" s="1561">
        <f>($B$4-H10)</f>
        <v>2399559.9899999998</v>
      </c>
      <c r="J10" s="1560"/>
      <c r="K10" s="1562">
        <f>G10+J10</f>
        <v>504354.82999999996</v>
      </c>
      <c r="L10" s="2310">
        <f>($C$4-F10)</f>
        <v>106</v>
      </c>
      <c r="M10" s="2311"/>
      <c r="N10" s="1563">
        <f t="shared" ref="N10:O10" si="0">(G10/$B$4)</f>
        <v>0.17368100005082104</v>
      </c>
      <c r="O10" s="1564">
        <f t="shared" si="0"/>
        <v>0.17368100005082104</v>
      </c>
      <c r="P10" s="1294"/>
    </row>
    <row r="11" spans="2:20" s="1295" customFormat="1" ht="15.75">
      <c r="B11" s="1583">
        <v>2</v>
      </c>
      <c r="C11" s="1557">
        <v>44896</v>
      </c>
      <c r="D11" s="1558" t="s">
        <v>58</v>
      </c>
      <c r="E11" s="1557">
        <v>44926</v>
      </c>
      <c r="F11" s="1559">
        <f>((E11-C11)+1)</f>
        <v>31</v>
      </c>
      <c r="G11" s="1560">
        <v>347293.06999999995</v>
      </c>
      <c r="H11" s="1560">
        <f>H10+G11</f>
        <v>851647.89999999991</v>
      </c>
      <c r="I11" s="1561">
        <f>($B$4-H11)</f>
        <v>2052266.92</v>
      </c>
      <c r="J11" s="1560"/>
      <c r="K11" s="1562">
        <f>G11+J11</f>
        <v>347293.06999999995</v>
      </c>
      <c r="L11" s="2310">
        <f>L10-F11</f>
        <v>75</v>
      </c>
      <c r="M11" s="2311"/>
      <c r="N11" s="1563">
        <f t="shared" ref="N11" si="1">(G11/$B$4)</f>
        <v>0.11959478549718616</v>
      </c>
      <c r="O11" s="1564">
        <f t="shared" ref="O11" si="2">(H11/$B$4)</f>
        <v>0.29327578554800721</v>
      </c>
      <c r="P11" s="1294"/>
    </row>
    <row r="12" spans="2:20" s="932" customFormat="1" ht="15.75">
      <c r="B12" s="1583">
        <v>3</v>
      </c>
      <c r="C12" s="1557">
        <v>44927</v>
      </c>
      <c r="D12" s="1558" t="s">
        <v>58</v>
      </c>
      <c r="E12" s="1557">
        <v>44957</v>
      </c>
      <c r="F12" s="1559">
        <f>((E12-C12)+1)</f>
        <v>31</v>
      </c>
      <c r="G12" s="1560">
        <v>401956.99000000011</v>
      </c>
      <c r="H12" s="1560">
        <f>H11+G12</f>
        <v>1253604.8900000001</v>
      </c>
      <c r="I12" s="1561">
        <f>($B$4-H12)</f>
        <v>1650309.9299999997</v>
      </c>
      <c r="J12" s="1560"/>
      <c r="K12" s="1562">
        <f>G12+J12</f>
        <v>401956.99000000011</v>
      </c>
      <c r="L12" s="2310">
        <f>L11-F12</f>
        <v>44</v>
      </c>
      <c r="M12" s="2311"/>
      <c r="N12" s="1563">
        <f t="shared" ref="N12" si="3">(G12/$B$4)</f>
        <v>0.13841900156010778</v>
      </c>
      <c r="O12" s="1564">
        <f t="shared" ref="O12" si="4">(H12/$B$4)</f>
        <v>0.43169478710811504</v>
      </c>
      <c r="P12" s="1317"/>
      <c r="T12" s="1318"/>
    </row>
    <row r="13" spans="2:20" s="793" customFormat="1" ht="15.75">
      <c r="B13" s="1583">
        <v>4</v>
      </c>
      <c r="C13" s="1557">
        <v>44958</v>
      </c>
      <c r="D13" s="1558" t="s">
        <v>58</v>
      </c>
      <c r="E13" s="1557">
        <v>44985</v>
      </c>
      <c r="F13" s="1559">
        <f>((E13-C13)+1)</f>
        <v>28</v>
      </c>
      <c r="G13" s="1560">
        <v>433564.99000000005</v>
      </c>
      <c r="H13" s="1560">
        <f>H12+G13</f>
        <v>1687169.8800000001</v>
      </c>
      <c r="I13" s="1561">
        <f>($B$4-H13)</f>
        <v>1216744.9399999997</v>
      </c>
      <c r="J13" s="1560"/>
      <c r="K13" s="1562">
        <f>G13+J13</f>
        <v>433564.99000000005</v>
      </c>
      <c r="L13" s="2310">
        <f>L12-F13</f>
        <v>16</v>
      </c>
      <c r="M13" s="2311"/>
      <c r="N13" s="1563">
        <f t="shared" ref="N13" si="5">(G13/$B$4)</f>
        <v>0.14930361834786879</v>
      </c>
      <c r="O13" s="1564">
        <f t="shared" ref="O13" si="6">(H13/$B$4)</f>
        <v>0.5809984054559838</v>
      </c>
      <c r="T13" s="397"/>
    </row>
    <row r="14" spans="2:20" s="276" customFormat="1" ht="15.75">
      <c r="B14" s="1583">
        <v>5</v>
      </c>
      <c r="C14" s="1557">
        <v>44986</v>
      </c>
      <c r="D14" s="1558" t="s">
        <v>58</v>
      </c>
      <c r="E14" s="1557">
        <v>45016</v>
      </c>
      <c r="F14" s="1559">
        <f>((E14-C14)+1)</f>
        <v>31</v>
      </c>
      <c r="G14" s="1560">
        <v>357987.56</v>
      </c>
      <c r="H14" s="1560">
        <f>H13+G14</f>
        <v>2045157.4400000002</v>
      </c>
      <c r="I14" s="1561">
        <f>($B$4-H14)</f>
        <v>858757.37999999966</v>
      </c>
      <c r="J14" s="1560"/>
      <c r="K14" s="1562">
        <f>G14+J14</f>
        <v>357987.56</v>
      </c>
      <c r="L14" s="2310">
        <f>L13-F14</f>
        <v>-15</v>
      </c>
      <c r="M14" s="2311"/>
      <c r="N14" s="1563">
        <f t="shared" ref="N14" si="7">(G14/$B$4)</f>
        <v>0.12327756914026838</v>
      </c>
      <c r="O14" s="1564">
        <f t="shared" ref="O14:O16" si="8">(H14/$B$4)</f>
        <v>0.70427597459625224</v>
      </c>
      <c r="P14" s="999"/>
      <c r="T14" s="1295"/>
    </row>
    <row r="15" spans="2:20" s="793" customFormat="1" ht="15.75">
      <c r="B15" s="1565" t="s">
        <v>926</v>
      </c>
      <c r="C15" s="1566"/>
      <c r="D15" s="1567"/>
      <c r="E15" s="1566"/>
      <c r="F15" s="1568"/>
      <c r="G15" s="1569"/>
      <c r="H15" s="1569"/>
      <c r="I15" s="1570"/>
      <c r="J15" s="1569"/>
      <c r="K15" s="1571"/>
      <c r="L15" s="2327">
        <v>90</v>
      </c>
      <c r="M15" s="2328"/>
      <c r="N15" s="1572"/>
      <c r="O15" s="1573"/>
      <c r="P15" s="1000"/>
      <c r="T15" s="397"/>
    </row>
    <row r="16" spans="2:20" s="932" customFormat="1" ht="15.75">
      <c r="B16" s="1583">
        <v>6</v>
      </c>
      <c r="C16" s="1557">
        <v>45017</v>
      </c>
      <c r="D16" s="1558" t="s">
        <v>58</v>
      </c>
      <c r="E16" s="1557">
        <v>45046</v>
      </c>
      <c r="F16" s="1559">
        <f>((E16-C16)+1)</f>
        <v>30</v>
      </c>
      <c r="G16" s="1560">
        <v>289299.88000000006</v>
      </c>
      <c r="H16" s="1560">
        <f>H14+G16</f>
        <v>2334457.3200000003</v>
      </c>
      <c r="I16" s="1561">
        <f>($B$4-H16)</f>
        <v>569457.49999999953</v>
      </c>
      <c r="J16" s="1560"/>
      <c r="K16" s="1562">
        <f>G16+J16</f>
        <v>289299.88000000006</v>
      </c>
      <c r="L16" s="2310">
        <f>(L14-F16)+L15</f>
        <v>45</v>
      </c>
      <c r="M16" s="2311"/>
      <c r="N16" s="1563">
        <f>(G16/$B$4)</f>
        <v>9.9624092968401898E-2</v>
      </c>
      <c r="O16" s="1564">
        <f t="shared" si="8"/>
        <v>0.80390006756465415</v>
      </c>
      <c r="P16" s="1317"/>
      <c r="T16" s="1318"/>
    </row>
    <row r="17" spans="2:20" s="932" customFormat="1" ht="15.75">
      <c r="B17" s="1583">
        <v>7</v>
      </c>
      <c r="C17" s="1557">
        <v>45047</v>
      </c>
      <c r="D17" s="1558" t="s">
        <v>58</v>
      </c>
      <c r="E17" s="1557">
        <v>45077</v>
      </c>
      <c r="F17" s="1559">
        <f>((E17-C17)+1)</f>
        <v>31</v>
      </c>
      <c r="G17" s="1560">
        <v>70663.980000000025</v>
      </c>
      <c r="H17" s="1560">
        <f>H16+G17</f>
        <v>2405121.3000000003</v>
      </c>
      <c r="I17" s="1561">
        <f>($B$4-H17)</f>
        <v>498793.51999999955</v>
      </c>
      <c r="J17" s="1560"/>
      <c r="K17" s="1562">
        <f>G17+J17</f>
        <v>70663.980000000025</v>
      </c>
      <c r="L17" s="2310">
        <f>L16-F17</f>
        <v>14</v>
      </c>
      <c r="M17" s="2311"/>
      <c r="N17" s="1563">
        <f>(G17/$B$4)</f>
        <v>2.4334040211275904E-2</v>
      </c>
      <c r="O17" s="1564">
        <f t="shared" ref="O17" si="9">(H17/$B$4)</f>
        <v>0.82823410777592998</v>
      </c>
      <c r="P17" s="1317"/>
      <c r="Q17" s="932">
        <v>365040.01</v>
      </c>
      <c r="T17" s="1318"/>
    </row>
    <row r="18" spans="2:20" s="932" customFormat="1" ht="15.75">
      <c r="B18" s="1565" t="s">
        <v>1014</v>
      </c>
      <c r="C18" s="1566"/>
      <c r="D18" s="1567"/>
      <c r="E18" s="1566"/>
      <c r="F18" s="1568"/>
      <c r="G18" s="1569"/>
      <c r="H18" s="1569"/>
      <c r="I18" s="1570"/>
      <c r="J18" s="1569"/>
      <c r="K18" s="1571"/>
      <c r="L18" s="1678"/>
      <c r="M18" s="1679"/>
      <c r="N18" s="1572"/>
      <c r="O18" s="1573"/>
      <c r="P18" s="1317"/>
      <c r="T18" s="1318"/>
    </row>
    <row r="19" spans="2:20" s="276" customFormat="1" ht="15.75">
      <c r="B19" s="1584">
        <v>8</v>
      </c>
      <c r="C19" s="1574">
        <v>45078</v>
      </c>
      <c r="D19" s="1575" t="s">
        <v>58</v>
      </c>
      <c r="E19" s="1574">
        <v>45104</v>
      </c>
      <c r="F19" s="1576">
        <f>((E19-C19)+1)</f>
        <v>27</v>
      </c>
      <c r="G19" s="1577">
        <f>'12 - FINANCEIRA'!$K$91</f>
        <v>806270</v>
      </c>
      <c r="H19" s="1577">
        <f>H17+G19</f>
        <v>3211391.3000000003</v>
      </c>
      <c r="I19" s="1578">
        <f>($B$4+$J$4-H19)+0.01</f>
        <v>408897.48999999953</v>
      </c>
      <c r="J19" s="1577"/>
      <c r="K19" s="1579">
        <f>G19+J19</f>
        <v>806270</v>
      </c>
      <c r="L19" s="2376">
        <f>L17-F19</f>
        <v>-13</v>
      </c>
      <c r="M19" s="2377"/>
      <c r="N19" s="1580">
        <f>(G19/($B$4+$G$4+$J$4+$M$4))</f>
        <v>0.22270875308460891</v>
      </c>
      <c r="O19" s="1581">
        <f>H19/($B$4+$G$4+$J$4+$M$4)</f>
        <v>0.88705390513073945</v>
      </c>
      <c r="Q19" s="276">
        <v>351333.95</v>
      </c>
      <c r="T19" s="397"/>
    </row>
    <row r="20" spans="2:20" s="276" customFormat="1" ht="15.75">
      <c r="B20" s="761"/>
      <c r="C20" s="762"/>
      <c r="D20" s="763"/>
      <c r="E20" s="762"/>
      <c r="F20" s="281"/>
      <c r="G20" s="764"/>
      <c r="H20" s="764"/>
      <c r="I20" s="765"/>
      <c r="J20" s="764"/>
      <c r="K20" s="766"/>
      <c r="L20" s="2310"/>
      <c r="M20" s="2311"/>
      <c r="N20" s="767"/>
      <c r="O20" s="768"/>
      <c r="Q20" s="276">
        <v>716373.97</v>
      </c>
      <c r="T20" s="397"/>
    </row>
    <row r="21" spans="2:20" s="276" customFormat="1" ht="15.75">
      <c r="B21" s="761"/>
      <c r="C21" s="762"/>
      <c r="D21" s="763"/>
      <c r="E21" s="762"/>
      <c r="F21" s="281"/>
      <c r="G21" s="764"/>
      <c r="H21" s="764"/>
      <c r="I21" s="765"/>
      <c r="J21" s="764"/>
      <c r="K21" s="766"/>
      <c r="L21" s="2310"/>
      <c r="M21" s="2311"/>
      <c r="N21" s="767"/>
      <c r="O21" s="768"/>
      <c r="T21" s="397"/>
    </row>
    <row r="22" spans="2:20" s="276" customFormat="1" ht="15.75">
      <c r="B22" s="761"/>
      <c r="C22" s="762"/>
      <c r="D22" s="763"/>
      <c r="E22" s="762"/>
      <c r="F22" s="281"/>
      <c r="G22" s="764"/>
      <c r="H22" s="764"/>
      <c r="I22" s="765"/>
      <c r="J22" s="764"/>
      <c r="K22" s="766"/>
      <c r="L22" s="2310"/>
      <c r="M22" s="2311"/>
      <c r="N22" s="767"/>
      <c r="O22" s="768"/>
      <c r="T22" s="397"/>
    </row>
    <row r="23" spans="2:20" s="276" customFormat="1" ht="15.75">
      <c r="B23" s="761"/>
      <c r="C23" s="762"/>
      <c r="D23" s="763"/>
      <c r="E23" s="762"/>
      <c r="F23" s="281"/>
      <c r="G23" s="764"/>
      <c r="H23" s="764"/>
      <c r="I23" s="765"/>
      <c r="J23" s="764"/>
      <c r="K23" s="766"/>
      <c r="L23" s="2310"/>
      <c r="M23" s="2311"/>
      <c r="N23" s="767"/>
      <c r="O23" s="768"/>
      <c r="T23" s="397"/>
    </row>
    <row r="24" spans="2:20" s="276" customFormat="1" ht="15.75">
      <c r="B24" s="761"/>
      <c r="C24" s="762"/>
      <c r="D24" s="763"/>
      <c r="E24" s="762"/>
      <c r="F24" s="281"/>
      <c r="G24" s="764"/>
      <c r="H24" s="764"/>
      <c r="I24" s="765"/>
      <c r="J24" s="764"/>
      <c r="K24" s="766"/>
      <c r="L24" s="2310"/>
      <c r="M24" s="2311"/>
      <c r="N24" s="767"/>
      <c r="O24" s="768"/>
    </row>
    <row r="25" spans="2:20" s="793" customFormat="1" ht="15.75">
      <c r="B25" s="761"/>
      <c r="C25" s="762"/>
      <c r="D25" s="763"/>
      <c r="E25" s="762"/>
      <c r="F25" s="281"/>
      <c r="G25" s="764"/>
      <c r="H25" s="764"/>
      <c r="I25" s="765"/>
      <c r="J25" s="764"/>
      <c r="K25" s="766"/>
      <c r="L25" s="2310"/>
      <c r="M25" s="2311"/>
      <c r="N25" s="767"/>
      <c r="O25" s="768"/>
    </row>
    <row r="26" spans="2:20" s="932" customFormat="1" ht="15.75">
      <c r="B26" s="761"/>
      <c r="C26" s="762"/>
      <c r="D26" s="763"/>
      <c r="E26" s="762"/>
      <c r="F26" s="281"/>
      <c r="G26" s="764"/>
      <c r="H26" s="764"/>
      <c r="I26" s="765"/>
      <c r="J26" s="764"/>
      <c r="K26" s="766"/>
      <c r="L26" s="2310"/>
      <c r="M26" s="2311"/>
      <c r="N26" s="767"/>
      <c r="O26" s="768"/>
    </row>
    <row r="27" spans="2:20" s="276" customFormat="1" ht="15.75">
      <c r="B27" s="761"/>
      <c r="C27" s="762"/>
      <c r="D27" s="763"/>
      <c r="E27" s="762"/>
      <c r="F27" s="281"/>
      <c r="G27" s="764"/>
      <c r="H27" s="764"/>
      <c r="I27" s="765"/>
      <c r="J27" s="764"/>
      <c r="K27" s="766"/>
      <c r="L27" s="2310"/>
      <c r="M27" s="2311"/>
      <c r="N27" s="767"/>
      <c r="O27" s="768"/>
    </row>
    <row r="28" spans="2:20" s="276" customFormat="1" ht="15.75">
      <c r="B28" s="761"/>
      <c r="C28" s="762"/>
      <c r="D28" s="763"/>
      <c r="E28" s="762"/>
      <c r="F28" s="281"/>
      <c r="G28" s="764"/>
      <c r="H28" s="764"/>
      <c r="I28" s="765"/>
      <c r="J28" s="764"/>
      <c r="K28" s="766"/>
      <c r="L28" s="2310"/>
      <c r="M28" s="2311"/>
      <c r="N28" s="767"/>
      <c r="O28" s="768"/>
    </row>
    <row r="29" spans="2:20" s="276" customFormat="1" ht="15.75">
      <c r="B29" s="387"/>
      <c r="C29" s="274"/>
      <c r="D29" s="274"/>
      <c r="E29" s="274"/>
      <c r="F29" s="281"/>
      <c r="G29" s="277"/>
      <c r="H29" s="277"/>
      <c r="I29" s="278"/>
      <c r="J29" s="277"/>
      <c r="K29" s="279"/>
      <c r="L29" s="2340"/>
      <c r="M29" s="2341"/>
      <c r="N29" s="280"/>
      <c r="O29" s="388"/>
    </row>
    <row r="30" spans="2:20" s="276" customFormat="1" ht="15.75">
      <c r="B30" s="387"/>
      <c r="C30" s="274"/>
      <c r="D30" s="274"/>
      <c r="E30" s="274"/>
      <c r="F30" s="275"/>
      <c r="G30" s="277"/>
      <c r="H30" s="277"/>
      <c r="I30" s="278"/>
      <c r="J30" s="277"/>
      <c r="K30" s="279"/>
      <c r="L30" s="2340"/>
      <c r="M30" s="2341"/>
      <c r="N30" s="280"/>
      <c r="O30" s="388"/>
    </row>
    <row r="31" spans="2:20" s="276" customFormat="1" ht="15.75">
      <c r="B31" s="387"/>
      <c r="C31" s="274"/>
      <c r="D31" s="274"/>
      <c r="E31" s="274"/>
      <c r="F31" s="275"/>
      <c r="G31" s="277"/>
      <c r="H31" s="277"/>
      <c r="I31" s="278"/>
      <c r="J31" s="277"/>
      <c r="K31" s="279"/>
      <c r="L31" s="2340"/>
      <c r="M31" s="2341"/>
      <c r="N31" s="280"/>
      <c r="O31" s="388"/>
    </row>
    <row r="32" spans="2:20" s="276" customFormat="1" ht="15.75">
      <c r="B32" s="387"/>
      <c r="C32" s="274"/>
      <c r="D32" s="274"/>
      <c r="E32" s="274"/>
      <c r="F32" s="275"/>
      <c r="G32" s="277"/>
      <c r="H32" s="277"/>
      <c r="I32" s="278"/>
      <c r="J32" s="277"/>
      <c r="K32" s="279"/>
      <c r="L32" s="2340"/>
      <c r="M32" s="2341"/>
      <c r="N32" s="280"/>
      <c r="O32" s="388"/>
      <c r="P32" s="282"/>
    </row>
    <row r="33" spans="2:15" s="276" customFormat="1" ht="15.75">
      <c r="B33" s="387"/>
      <c r="C33" s="274"/>
      <c r="D33" s="274"/>
      <c r="E33" s="274"/>
      <c r="F33" s="275"/>
      <c r="G33" s="277"/>
      <c r="H33" s="277"/>
      <c r="I33" s="283"/>
      <c r="J33" s="277"/>
      <c r="K33" s="279"/>
      <c r="L33" s="2340"/>
      <c r="M33" s="2341"/>
      <c r="N33" s="280"/>
      <c r="O33" s="388"/>
    </row>
    <row r="34" spans="2:15" s="276" customFormat="1" ht="15.75">
      <c r="B34" s="387"/>
      <c r="C34" s="274"/>
      <c r="D34" s="274"/>
      <c r="E34" s="274"/>
      <c r="F34" s="275"/>
      <c r="G34" s="277"/>
      <c r="H34" s="277"/>
      <c r="I34" s="283"/>
      <c r="J34" s="277"/>
      <c r="K34" s="279"/>
      <c r="L34" s="2340"/>
      <c r="M34" s="2341"/>
      <c r="N34" s="280"/>
      <c r="O34" s="388"/>
    </row>
    <row r="35" spans="2:15" s="276" customFormat="1" ht="15.75">
      <c r="B35" s="387"/>
      <c r="C35" s="274"/>
      <c r="D35" s="274"/>
      <c r="E35" s="274"/>
      <c r="F35" s="275"/>
      <c r="G35" s="277"/>
      <c r="H35" s="277"/>
      <c r="I35" s="283"/>
      <c r="J35" s="277"/>
      <c r="K35" s="279"/>
      <c r="L35" s="2340"/>
      <c r="M35" s="2341"/>
      <c r="N35" s="280"/>
      <c r="O35" s="388"/>
    </row>
    <row r="36" spans="2:15" s="276" customFormat="1" ht="15.75">
      <c r="B36" s="387"/>
      <c r="C36" s="274"/>
      <c r="D36" s="274"/>
      <c r="E36" s="274"/>
      <c r="F36" s="275"/>
      <c r="G36" s="277"/>
      <c r="H36" s="277"/>
      <c r="I36" s="283"/>
      <c r="J36" s="277"/>
      <c r="K36" s="279"/>
      <c r="L36" s="2340"/>
      <c r="M36" s="2341"/>
      <c r="N36" s="280"/>
      <c r="O36" s="388"/>
    </row>
    <row r="37" spans="2:15" s="276" customFormat="1" ht="15.75">
      <c r="B37" s="387"/>
      <c r="C37" s="274"/>
      <c r="D37" s="274"/>
      <c r="E37" s="274"/>
      <c r="F37" s="275"/>
      <c r="G37" s="277"/>
      <c r="H37" s="277"/>
      <c r="I37" s="283"/>
      <c r="J37" s="277"/>
      <c r="K37" s="279"/>
      <c r="L37" s="2340"/>
      <c r="M37" s="2341"/>
      <c r="N37" s="280"/>
      <c r="O37" s="388"/>
    </row>
    <row r="38" spans="2:15" s="276" customFormat="1" ht="15.75">
      <c r="B38" s="387"/>
      <c r="C38" s="274"/>
      <c r="D38" s="274"/>
      <c r="E38" s="274"/>
      <c r="F38" s="275"/>
      <c r="G38" s="277"/>
      <c r="H38" s="277"/>
      <c r="I38" s="283"/>
      <c r="J38" s="277"/>
      <c r="K38" s="279"/>
      <c r="L38" s="2340"/>
      <c r="M38" s="2341"/>
      <c r="N38" s="280"/>
      <c r="O38" s="388"/>
    </row>
    <row r="39" spans="2:15" s="276" customFormat="1" ht="15.75">
      <c r="B39" s="387"/>
      <c r="C39" s="274"/>
      <c r="D39" s="274"/>
      <c r="E39" s="274"/>
      <c r="F39" s="275"/>
      <c r="G39" s="277"/>
      <c r="H39" s="277"/>
      <c r="I39" s="283"/>
      <c r="J39" s="277"/>
      <c r="K39" s="279"/>
      <c r="L39" s="2340"/>
      <c r="M39" s="2341"/>
      <c r="N39" s="280"/>
      <c r="O39" s="388"/>
    </row>
    <row r="40" spans="2:15" s="276" customFormat="1" ht="15.75" customHeight="1">
      <c r="B40" s="385"/>
      <c r="C40" s="299"/>
      <c r="D40" s="299"/>
      <c r="E40" s="299"/>
      <c r="F40" s="300"/>
      <c r="G40" s="301"/>
      <c r="H40" s="301"/>
      <c r="I40" s="302"/>
      <c r="J40" s="301"/>
      <c r="K40" s="303"/>
      <c r="L40" s="2374"/>
      <c r="M40" s="2375"/>
      <c r="N40" s="304"/>
      <c r="O40" s="386"/>
    </row>
    <row r="41" spans="2:15" s="272" customFormat="1" ht="20.25" customHeight="1">
      <c r="B41" s="2366" t="s">
        <v>384</v>
      </c>
      <c r="C41" s="2367"/>
      <c r="D41" s="2367"/>
      <c r="E41" s="2367"/>
      <c r="F41" s="379">
        <f>SUBTOTAL(9,F10:F40)</f>
        <v>286</v>
      </c>
      <c r="G41" s="284">
        <f>MAX(H10:H27)</f>
        <v>3211391.3000000003</v>
      </c>
      <c r="H41" s="284"/>
      <c r="I41" s="284">
        <f>ROUND((($B$4+J4+0.01)-$G$41),2)</f>
        <v>408897.49</v>
      </c>
      <c r="J41" s="284">
        <f>SUM(J10:J40)</f>
        <v>0</v>
      </c>
      <c r="K41" s="284">
        <f>MAX(H10:H27)</f>
        <v>3211391.3000000003</v>
      </c>
      <c r="L41" s="2368">
        <f>SUM($C$4+$H$4)-$F$41</f>
        <v>-13</v>
      </c>
      <c r="M41" s="2369"/>
      <c r="N41" s="285"/>
      <c r="O41" s="389">
        <f>($G$41/($B$4+J4+0.01))</f>
        <v>0.88705390268050988</v>
      </c>
    </row>
    <row r="42" spans="2:15" ht="15.75" hidden="1" customHeight="1">
      <c r="B42" s="2342" t="s">
        <v>251</v>
      </c>
      <c r="C42" s="2343"/>
      <c r="D42" s="2343"/>
      <c r="E42" s="2343"/>
      <c r="F42" s="2343"/>
      <c r="G42" s="2343"/>
      <c r="H42" s="2343"/>
      <c r="I42" s="2343"/>
      <c r="J42" s="2343"/>
      <c r="K42" s="2343"/>
      <c r="L42" s="2343"/>
      <c r="M42" s="2344"/>
    </row>
    <row r="43" spans="2:15" ht="12.75" hidden="1" customHeight="1">
      <c r="B43" s="2352" t="s">
        <v>252</v>
      </c>
      <c r="C43" s="2353"/>
      <c r="D43" s="2353"/>
      <c r="E43" s="2353"/>
      <c r="F43" s="2353"/>
      <c r="G43" s="2353"/>
      <c r="H43" s="286" t="e">
        <f>-1*#REF!</f>
        <v>#REF!</v>
      </c>
      <c r="I43" s="2354"/>
      <c r="J43" s="2354"/>
      <c r="K43" s="2354"/>
      <c r="L43" s="2354"/>
      <c r="M43" s="2355"/>
    </row>
    <row r="44" spans="2:15" ht="12.75" hidden="1" customHeight="1">
      <c r="B44" s="2359" t="s">
        <v>253</v>
      </c>
      <c r="C44" s="2360"/>
      <c r="D44" s="2360"/>
      <c r="E44" s="2360"/>
      <c r="F44" s="2360"/>
      <c r="G44" s="2361"/>
      <c r="H44" s="287" t="e">
        <f>H43/B4</f>
        <v>#REF!</v>
      </c>
      <c r="I44" s="2362"/>
      <c r="J44" s="2362"/>
      <c r="K44" s="2362"/>
      <c r="L44" s="2362"/>
      <c r="M44" s="2363"/>
    </row>
    <row r="45" spans="2:15" ht="12.75" hidden="1" customHeight="1">
      <c r="B45" s="2364" t="s">
        <v>254</v>
      </c>
      <c r="C45" s="2365"/>
      <c r="D45" s="2365"/>
      <c r="E45" s="2365"/>
      <c r="F45" s="2365"/>
      <c r="G45" s="2365"/>
      <c r="H45" s="288" t="e">
        <f>-1*#REF!</f>
        <v>#REF!</v>
      </c>
      <c r="I45" s="2362" t="e">
        <f>#REF!</f>
        <v>#REF!</v>
      </c>
      <c r="J45" s="2362"/>
      <c r="K45" s="2362"/>
      <c r="L45" s="2362"/>
      <c r="M45" s="2363"/>
    </row>
    <row r="46" spans="2:15" ht="12.75" hidden="1" customHeight="1">
      <c r="B46" s="2356"/>
      <c r="C46" s="2357"/>
      <c r="D46" s="2357"/>
      <c r="E46" s="2357"/>
      <c r="F46" s="2357"/>
      <c r="G46" s="2357"/>
      <c r="H46" s="2358"/>
      <c r="I46" s="9"/>
      <c r="J46" s="9"/>
      <c r="K46" s="9"/>
      <c r="L46" s="9"/>
      <c r="M46" s="308"/>
    </row>
    <row r="47" spans="2:15" ht="12.75" hidden="1" customHeight="1">
      <c r="B47" s="2345" t="s">
        <v>255</v>
      </c>
      <c r="C47" s="2346"/>
      <c r="D47" s="2346"/>
      <c r="E47" s="2346"/>
      <c r="F47" s="2346"/>
      <c r="G47" s="2346"/>
      <c r="H47" s="289" t="e">
        <f>J4+H43</f>
        <v>#REF!</v>
      </c>
      <c r="I47" s="9"/>
      <c r="J47" s="9"/>
      <c r="K47" s="9"/>
      <c r="L47" s="9"/>
      <c r="M47" s="308"/>
    </row>
    <row r="48" spans="2:15" ht="12.75" hidden="1" customHeight="1">
      <c r="B48" s="2347" t="s">
        <v>253</v>
      </c>
      <c r="C48" s="2348"/>
      <c r="D48" s="2348"/>
      <c r="E48" s="2348"/>
      <c r="F48" s="2348"/>
      <c r="G48" s="2349"/>
      <c r="H48" s="290" t="e">
        <f>(H47/B4)-100%</f>
        <v>#REF!</v>
      </c>
      <c r="I48" s="9"/>
      <c r="J48" s="9"/>
      <c r="K48" s="9"/>
      <c r="L48" s="9"/>
      <c r="M48" s="308"/>
    </row>
    <row r="49" spans="2:13" ht="12.75" hidden="1" customHeight="1">
      <c r="B49" s="2350" t="s">
        <v>256</v>
      </c>
      <c r="C49" s="2351"/>
      <c r="D49" s="2351"/>
      <c r="E49" s="2351"/>
      <c r="F49" s="2351"/>
      <c r="G49" s="2351"/>
      <c r="H49" s="291" t="e">
        <f>1560+H45</f>
        <v>#REF!</v>
      </c>
      <c r="I49" s="296"/>
      <c r="J49" s="296"/>
      <c r="K49" s="296"/>
      <c r="L49" s="296"/>
      <c r="M49" s="309"/>
    </row>
    <row r="50" spans="2:13" ht="15.75" customHeight="1">
      <c r="G50" s="8" t="str">
        <f>IF(G41='12 - FINANCEIRA'!M91,"OK - PLANILHA FINANCEIRA","VERIFICAR - PLANILHA FINANCEIRA")</f>
        <v>OK - PLANILHA FINANCEIRA</v>
      </c>
      <c r="I50" s="8" t="b">
        <f>IF(I41='12 - FINANCEIRA'!N92,1,FALSE)</f>
        <v>0</v>
      </c>
    </row>
    <row r="51" spans="2:13" ht="15.75" customHeight="1">
      <c r="B51" s="382"/>
      <c r="G51" s="8" t="str">
        <f>IF(G41='9.1 - CRONOGRAMA'!P58,"OK - CRONOGRAMA","VERIFICAR - CRONOGRAMA")</f>
        <v>OK - CRONOGRAMA</v>
      </c>
      <c r="I51" s="1955"/>
      <c r="J51" s="2339"/>
      <c r="K51" s="2339"/>
    </row>
    <row r="52" spans="2:13" ht="15.75" customHeight="1">
      <c r="G52" s="13"/>
      <c r="I52" s="292"/>
    </row>
    <row r="53" spans="2:13" ht="15.75" customHeight="1">
      <c r="G53" s="13"/>
      <c r="M53" s="13"/>
    </row>
    <row r="54" spans="2:13" ht="15.75" customHeight="1">
      <c r="F54" s="8">
        <f>(30*9)+3</f>
        <v>273</v>
      </c>
      <c r="G54" s="1941">
        <v>44819</v>
      </c>
      <c r="H54" s="293"/>
      <c r="K54" s="13"/>
      <c r="L54" s="13"/>
    </row>
    <row r="55" spans="2:13" ht="15.75" customHeight="1">
      <c r="G55" s="1941">
        <f>G54+F54</f>
        <v>45092</v>
      </c>
      <c r="I55" s="294"/>
    </row>
    <row r="56" spans="2:13" ht="15.75" customHeight="1">
      <c r="I56" s="294"/>
    </row>
    <row r="57" spans="2:13" ht="15.75" customHeight="1"/>
    <row r="58" spans="2:13" ht="15.75" customHeight="1"/>
    <row r="59" spans="2:13" ht="15.75" customHeight="1"/>
    <row r="60" spans="2:13" ht="15.75" customHeight="1"/>
    <row r="61" spans="2:13" ht="15.75" customHeight="1"/>
    <row r="62" spans="2:13" ht="15.75" customHeight="1"/>
  </sheetData>
  <mergeCells count="63">
    <mergeCell ref="B41:E41"/>
    <mergeCell ref="L41:M41"/>
    <mergeCell ref="N8:O8"/>
    <mergeCell ref="L10:M10"/>
    <mergeCell ref="L11:M11"/>
    <mergeCell ref="L12:M12"/>
    <mergeCell ref="L16:M16"/>
    <mergeCell ref="L8:M9"/>
    <mergeCell ref="L39:M39"/>
    <mergeCell ref="L40:M40"/>
    <mergeCell ref="L17:M17"/>
    <mergeCell ref="L28:M28"/>
    <mergeCell ref="L19:M19"/>
    <mergeCell ref="L20:M20"/>
    <mergeCell ref="L21:M21"/>
    <mergeCell ref="C8:E9"/>
    <mergeCell ref="B49:G49"/>
    <mergeCell ref="B43:G43"/>
    <mergeCell ref="I43:M43"/>
    <mergeCell ref="B46:H46"/>
    <mergeCell ref="B44:G44"/>
    <mergeCell ref="I44:M44"/>
    <mergeCell ref="B45:G45"/>
    <mergeCell ref="I45:M45"/>
    <mergeCell ref="J51:K51"/>
    <mergeCell ref="L25:M25"/>
    <mergeCell ref="L26:M26"/>
    <mergeCell ref="L29:M29"/>
    <mergeCell ref="L36:M36"/>
    <mergeCell ref="L38:M38"/>
    <mergeCell ref="L31:M31"/>
    <mergeCell ref="L32:M32"/>
    <mergeCell ref="L33:M33"/>
    <mergeCell ref="L34:M34"/>
    <mergeCell ref="L37:M37"/>
    <mergeCell ref="L35:M35"/>
    <mergeCell ref="L30:M30"/>
    <mergeCell ref="B42:M42"/>
    <mergeCell ref="B47:G47"/>
    <mergeCell ref="B48:G48"/>
    <mergeCell ref="F8:F9"/>
    <mergeCell ref="G8:K8"/>
    <mergeCell ref="L14:M14"/>
    <mergeCell ref="L13:M13"/>
    <mergeCell ref="G5:I5"/>
    <mergeCell ref="J5:L5"/>
    <mergeCell ref="M5:O5"/>
    <mergeCell ref="L22:M22"/>
    <mergeCell ref="L23:M23"/>
    <mergeCell ref="L27:M27"/>
    <mergeCell ref="L24:M24"/>
    <mergeCell ref="B1:O1"/>
    <mergeCell ref="B2:F2"/>
    <mergeCell ref="G2:I2"/>
    <mergeCell ref="J2:L2"/>
    <mergeCell ref="M2:O2"/>
    <mergeCell ref="C3:E3"/>
    <mergeCell ref="C4:E4"/>
    <mergeCell ref="B5:F5"/>
    <mergeCell ref="L15:M15"/>
    <mergeCell ref="B6:O6"/>
    <mergeCell ref="B7:O7"/>
    <mergeCell ref="B8:B9"/>
  </mergeCells>
  <printOptions horizontalCentered="1"/>
  <pageMargins left="0.19685039370078741" right="0.19685039370078741" top="0.78740157480314965" bottom="0.78740157480314965" header="0" footer="0"/>
  <pageSetup paperSize="9" scale="70" fitToWidth="0" fitToHeight="0" orientation="landscape" r:id="rId1"/>
  <headerFooter scaleWithDoc="0">
    <oddHeader>&amp;C&amp;R&amp;"Times New Roman,Itálico"</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446A2C"/>
    <pageSetUpPr fitToPage="1"/>
  </sheetPr>
  <dimension ref="A1:AJ52"/>
  <sheetViews>
    <sheetView showGridLines="0" view="pageBreakPreview" topLeftCell="A10" zoomScale="60" zoomScaleNormal="100" workbookViewId="0">
      <selection activeCell="R52" sqref="R52"/>
    </sheetView>
  </sheetViews>
  <sheetFormatPr defaultRowHeight="12.75"/>
  <cols>
    <col min="1" max="1" width="9.140625" style="12"/>
    <col min="2" max="2" width="14.2851562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1" width="16.42578125" style="8" customWidth="1"/>
    <col min="12" max="18" width="15.7109375" style="8" customWidth="1"/>
    <col min="19" max="19" width="9" style="8" customWidth="1"/>
    <col min="20" max="20" width="15.7109375" style="8" customWidth="1"/>
    <col min="21" max="21" width="38.140625" style="8" bestFit="1" customWidth="1"/>
    <col min="22" max="27" width="9.140625" style="8"/>
    <col min="28" max="28" width="12.7109375" style="15" customWidth="1"/>
    <col min="29" max="16384" width="9.140625" style="8"/>
  </cols>
  <sheetData>
    <row r="1" spans="1:36" ht="18.75" customHeight="1">
      <c r="B1" s="2652" t="s">
        <v>115</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690" t="s">
        <v>9</v>
      </c>
      <c r="C6" s="2657"/>
      <c r="D6" s="2657"/>
      <c r="E6" s="2657"/>
      <c r="F6" s="2657"/>
      <c r="G6" s="2657"/>
      <c r="H6" s="2657"/>
      <c r="I6" s="2657"/>
      <c r="J6" s="238"/>
      <c r="K6" s="2649" t="s">
        <v>10</v>
      </c>
      <c r="L6" s="2650"/>
      <c r="M6" s="2650"/>
      <c r="N6" s="2650"/>
      <c r="O6" s="2650"/>
      <c r="P6" s="2650"/>
      <c r="Q6" s="2650"/>
      <c r="R6" s="2650"/>
      <c r="S6" s="2650"/>
      <c r="T6" s="2650"/>
      <c r="U6" s="2651"/>
      <c r="V6" s="99"/>
      <c r="W6" s="99"/>
      <c r="X6" s="99"/>
      <c r="Y6" s="99"/>
      <c r="Z6" s="99"/>
      <c r="AA6" s="99"/>
      <c r="AB6" s="17"/>
    </row>
    <row r="7" spans="1:36" s="20" customFormat="1" ht="15.75">
      <c r="A7" s="19"/>
      <c r="B7" s="152" t="s">
        <v>96</v>
      </c>
      <c r="C7" s="149" t="e">
        <f>#REF!</f>
        <v>#REF!</v>
      </c>
      <c r="D7" s="145"/>
      <c r="E7" s="92"/>
      <c r="F7" s="92"/>
      <c r="G7" s="145"/>
      <c r="H7" s="92"/>
      <c r="I7" s="92"/>
      <c r="J7" s="200"/>
      <c r="K7" s="151" t="s">
        <v>190</v>
      </c>
      <c r="L7" s="239"/>
      <c r="M7" s="240"/>
      <c r="N7" s="240"/>
      <c r="O7" s="240"/>
      <c r="P7" s="240"/>
      <c r="Q7" s="240"/>
      <c r="R7" s="240"/>
      <c r="S7" s="239"/>
      <c r="T7" s="239"/>
      <c r="U7" s="241"/>
      <c r="AB7" s="21"/>
    </row>
    <row r="8" spans="1:36" s="20" customFormat="1" ht="15.75">
      <c r="A8" s="19"/>
      <c r="B8" s="148" t="s">
        <v>79</v>
      </c>
      <c r="C8" s="149" t="e">
        <f>#REF!</f>
        <v>#REF!</v>
      </c>
      <c r="D8" s="145"/>
      <c r="E8" s="92"/>
      <c r="F8" s="92"/>
      <c r="G8" s="145"/>
      <c r="H8" s="92"/>
      <c r="I8" s="92"/>
      <c r="J8" s="144"/>
      <c r="K8" s="146" t="s">
        <v>191</v>
      </c>
      <c r="L8" s="145"/>
      <c r="M8" s="145"/>
      <c r="N8" s="96"/>
      <c r="O8" s="96"/>
      <c r="P8" s="96"/>
      <c r="Q8" s="96"/>
      <c r="R8" s="96"/>
      <c r="S8" s="145"/>
      <c r="T8" s="2647"/>
      <c r="U8" s="2648"/>
      <c r="AB8" s="21"/>
    </row>
    <row r="9" spans="1:36" s="20" customFormat="1" ht="15.75">
      <c r="A9" s="19"/>
      <c r="B9" s="148" t="s">
        <v>11</v>
      </c>
      <c r="C9" s="147" t="e">
        <f>VLOOKUP(B9,[0]!_xlnm.Print_Area,2,FALSE)</f>
        <v>#REF!</v>
      </c>
      <c r="D9" s="145"/>
      <c r="E9" s="92"/>
      <c r="F9" s="92"/>
      <c r="G9" s="145"/>
      <c r="H9" s="92"/>
      <c r="I9" s="92"/>
      <c r="J9" s="144"/>
      <c r="K9" s="146" t="s">
        <v>192</v>
      </c>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147" t="e">
        <f>VLOOKUP(B10,[0]!_xlnm.Print_Area,2,FALSE)</f>
        <v>#REF!</v>
      </c>
      <c r="D10" s="145"/>
      <c r="E10" s="92"/>
      <c r="F10" s="92"/>
      <c r="G10" s="145"/>
      <c r="H10" s="92"/>
      <c r="I10" s="92"/>
      <c r="J10" s="201"/>
      <c r="K10" s="146" t="s">
        <v>193</v>
      </c>
      <c r="L10" s="92"/>
      <c r="M10" s="92"/>
      <c r="N10" s="92"/>
      <c r="O10" s="92"/>
      <c r="P10" s="202"/>
      <c r="Q10" s="92"/>
      <c r="R10" s="92"/>
      <c r="S10" s="92"/>
      <c r="T10" s="2660"/>
      <c r="U10" s="2661"/>
      <c r="AA10" s="22"/>
      <c r="AB10" s="22"/>
      <c r="AC10" s="22"/>
      <c r="AD10" s="22"/>
      <c r="AE10" s="22"/>
      <c r="AF10" s="22"/>
      <c r="AG10" s="22"/>
      <c r="AH10" s="22"/>
      <c r="AI10" s="22"/>
      <c r="AJ10" s="22"/>
    </row>
    <row r="11" spans="1:36" s="29" customFormat="1" ht="21" customHeight="1">
      <c r="A11" s="23"/>
      <c r="B11" s="143" t="str">
        <f>LEFT(A52,2)</f>
        <v>10</v>
      </c>
      <c r="C11" s="2692" t="s">
        <v>282</v>
      </c>
      <c r="D11" s="2693"/>
      <c r="E11" s="2693"/>
      <c r="F11" s="2693"/>
      <c r="G11" s="2693"/>
      <c r="H11" s="2693"/>
      <c r="I11" s="2693"/>
      <c r="J11" s="2693"/>
      <c r="K11" s="2693"/>
      <c r="L11" s="2693"/>
      <c r="M11" s="242"/>
      <c r="N11" s="242"/>
      <c r="O11" s="242"/>
      <c r="P11" s="242"/>
      <c r="Q11" s="242"/>
      <c r="R11" s="242"/>
      <c r="S11" s="242"/>
      <c r="T11" s="242"/>
      <c r="U11" s="243"/>
      <c r="V11" s="26"/>
      <c r="W11" s="26"/>
      <c r="X11" s="26"/>
      <c r="Y11" s="26"/>
      <c r="Z11" s="27"/>
      <c r="AA11" s="28"/>
      <c r="AB11" s="28"/>
      <c r="AC11" s="28"/>
      <c r="AD11" s="28"/>
      <c r="AE11" s="28"/>
      <c r="AF11" s="28"/>
      <c r="AG11" s="28"/>
      <c r="AH11" s="28"/>
      <c r="AI11" s="28"/>
      <c r="AJ11" s="28"/>
    </row>
    <row r="12" spans="1:36" s="29" customFormat="1" ht="24.95" customHeight="1">
      <c r="A12" s="23"/>
      <c r="B12" s="2664" t="e">
        <f>VLOOKUP(A52,#REF!,2,FALSE)</f>
        <v>#REF!</v>
      </c>
      <c r="C12" s="2665" t="e">
        <f>VLOOKUP(A52,#REF!,3,FALSE)</f>
        <v>#REF!</v>
      </c>
      <c r="D12" s="2666" t="s">
        <v>97</v>
      </c>
      <c r="E12" s="2666"/>
      <c r="F12" s="2666"/>
      <c r="G12" s="2666"/>
      <c r="H12" s="2666"/>
      <c r="I12" s="2666"/>
      <c r="J12" s="2668" t="s">
        <v>98</v>
      </c>
      <c r="K12" s="2668" t="s">
        <v>102</v>
      </c>
      <c r="L12" s="2668" t="s">
        <v>220</v>
      </c>
      <c r="M12" s="2668" t="s">
        <v>113</v>
      </c>
      <c r="N12" s="2668" t="s">
        <v>112</v>
      </c>
      <c r="O12" s="2668" t="s">
        <v>221</v>
      </c>
      <c r="P12" s="2668" t="s">
        <v>111</v>
      </c>
      <c r="Q12" s="2668" t="s">
        <v>16</v>
      </c>
      <c r="R12" s="2668" t="s">
        <v>2</v>
      </c>
      <c r="S12" s="2668" t="s">
        <v>99</v>
      </c>
      <c r="T12" s="2668" t="s">
        <v>17</v>
      </c>
      <c r="U12" s="2667" t="s">
        <v>110</v>
      </c>
      <c r="V12" s="26"/>
      <c r="W12" s="26"/>
      <c r="X12" s="26"/>
      <c r="Y12" s="26"/>
      <c r="Z12" s="27"/>
      <c r="AA12" s="28"/>
      <c r="AB12" s="28"/>
      <c r="AC12" s="28"/>
      <c r="AD12" s="28"/>
      <c r="AE12" s="28"/>
      <c r="AF12" s="28"/>
      <c r="AG12" s="28"/>
      <c r="AH12" s="28"/>
      <c r="AI12" s="28"/>
      <c r="AJ12" s="28"/>
    </row>
    <row r="13" spans="1:36" s="29" customFormat="1" ht="24.95" customHeight="1">
      <c r="A13" s="23"/>
      <c r="B13" s="2664"/>
      <c r="C13" s="2665"/>
      <c r="D13" s="2669" t="s">
        <v>14</v>
      </c>
      <c r="E13" s="2669"/>
      <c r="F13" s="2669"/>
      <c r="G13" s="2667" t="s">
        <v>15</v>
      </c>
      <c r="H13" s="2667"/>
      <c r="I13" s="2667"/>
      <c r="J13" s="2417"/>
      <c r="K13" s="2417"/>
      <c r="L13" s="2417"/>
      <c r="M13" s="2417"/>
      <c r="N13" s="2417"/>
      <c r="O13" s="2417"/>
      <c r="P13" s="2417"/>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39"/>
      <c r="C14" s="244" t="s">
        <v>213</v>
      </c>
      <c r="D14" s="43">
        <v>303</v>
      </c>
      <c r="E14" s="44" t="s">
        <v>68</v>
      </c>
      <c r="F14" s="45">
        <v>10</v>
      </c>
      <c r="G14" s="43">
        <v>307</v>
      </c>
      <c r="H14" s="44" t="s">
        <v>68</v>
      </c>
      <c r="I14" s="45">
        <v>0</v>
      </c>
      <c r="J14" s="46" t="s">
        <v>105</v>
      </c>
      <c r="K14" s="35"/>
      <c r="L14" s="48"/>
      <c r="M14" s="49"/>
      <c r="N14" s="50"/>
      <c r="O14" s="50"/>
      <c r="P14" s="48"/>
      <c r="Q14" s="53"/>
      <c r="R14" s="53">
        <v>11.07</v>
      </c>
      <c r="S14" s="54" t="s">
        <v>8</v>
      </c>
      <c r="T14" s="141" t="s">
        <v>93</v>
      </c>
      <c r="U14" s="39" t="s">
        <v>227</v>
      </c>
      <c r="V14" s="26"/>
      <c r="W14" s="26"/>
      <c r="X14" s="26"/>
      <c r="Y14" s="26"/>
      <c r="Z14" s="27"/>
    </row>
    <row r="15" spans="1:36" s="28" customFormat="1" ht="20.100000000000001" customHeight="1">
      <c r="A15" s="129"/>
      <c r="B15" s="139"/>
      <c r="C15" s="244" t="s">
        <v>213</v>
      </c>
      <c r="D15" s="43">
        <v>303</v>
      </c>
      <c r="E15" s="44" t="s">
        <v>68</v>
      </c>
      <c r="F15" s="45">
        <v>10</v>
      </c>
      <c r="G15" s="43">
        <v>307</v>
      </c>
      <c r="H15" s="44" t="s">
        <v>68</v>
      </c>
      <c r="I15" s="45">
        <v>0</v>
      </c>
      <c r="J15" s="46" t="s">
        <v>105</v>
      </c>
      <c r="K15" s="35"/>
      <c r="L15" s="48"/>
      <c r="M15" s="49"/>
      <c r="N15" s="50"/>
      <c r="O15" s="50"/>
      <c r="P15" s="48"/>
      <c r="Q15" s="53"/>
      <c r="R15" s="53">
        <v>35.85</v>
      </c>
      <c r="S15" s="54" t="s">
        <v>8</v>
      </c>
      <c r="T15" s="141" t="s">
        <v>93</v>
      </c>
      <c r="U15" s="39" t="s">
        <v>227</v>
      </c>
      <c r="V15" s="26"/>
      <c r="W15" s="26"/>
      <c r="X15" s="26"/>
      <c r="Y15" s="26"/>
      <c r="Z15" s="27"/>
      <c r="AA15" s="41"/>
      <c r="AB15" s="114"/>
    </row>
    <row r="16" spans="1:36" s="28" customFormat="1" ht="20.100000000000001" customHeight="1">
      <c r="A16" s="129"/>
      <c r="B16" s="139"/>
      <c r="C16" s="244" t="s">
        <v>213</v>
      </c>
      <c r="D16" s="43">
        <v>303</v>
      </c>
      <c r="E16" s="44" t="s">
        <v>68</v>
      </c>
      <c r="F16" s="45">
        <v>10</v>
      </c>
      <c r="G16" s="43">
        <v>307</v>
      </c>
      <c r="H16" s="44" t="s">
        <v>68</v>
      </c>
      <c r="I16" s="45">
        <v>0</v>
      </c>
      <c r="J16" s="46" t="s">
        <v>105</v>
      </c>
      <c r="K16" s="35"/>
      <c r="L16" s="48"/>
      <c r="M16" s="49"/>
      <c r="N16" s="50"/>
      <c r="O16" s="50"/>
      <c r="P16" s="48"/>
      <c r="Q16" s="53"/>
      <c r="R16" s="53">
        <v>9.64</v>
      </c>
      <c r="S16" s="54" t="s">
        <v>8</v>
      </c>
      <c r="T16" s="141" t="s">
        <v>93</v>
      </c>
      <c r="U16" s="39" t="s">
        <v>227</v>
      </c>
      <c r="V16" s="26"/>
      <c r="W16" s="26"/>
      <c r="X16" s="26"/>
      <c r="Y16" s="26"/>
      <c r="Z16" s="27"/>
      <c r="AA16" s="41"/>
      <c r="AB16" s="114"/>
    </row>
    <row r="17" spans="1:28" s="28" customFormat="1" ht="20.100000000000001" customHeight="1">
      <c r="A17" s="129"/>
      <c r="B17" s="139"/>
      <c r="C17" s="79"/>
      <c r="D17" s="85"/>
      <c r="E17" s="86"/>
      <c r="F17" s="87"/>
      <c r="G17" s="85"/>
      <c r="H17" s="86"/>
      <c r="I17" s="87"/>
      <c r="J17" s="138"/>
      <c r="K17" s="193"/>
      <c r="L17" s="134"/>
      <c r="M17" s="136"/>
      <c r="N17" s="135"/>
      <c r="O17" s="135"/>
      <c r="P17" s="134"/>
      <c r="Q17" s="133"/>
      <c r="R17" s="133"/>
      <c r="S17" s="132"/>
      <c r="T17" s="131"/>
      <c r="U17" s="130"/>
      <c r="V17" s="26"/>
      <c r="W17" s="26"/>
      <c r="X17" s="26"/>
      <c r="Y17" s="26"/>
      <c r="Z17" s="27"/>
      <c r="AA17" s="41"/>
      <c r="AB17" s="114"/>
    </row>
    <row r="18" spans="1:28" s="28" customFormat="1" ht="20.100000000000001" customHeight="1">
      <c r="A18" s="129"/>
      <c r="B18" s="139"/>
      <c r="C18" s="79"/>
      <c r="D18" s="85"/>
      <c r="E18" s="86"/>
      <c r="F18" s="87"/>
      <c r="G18" s="85"/>
      <c r="H18" s="86"/>
      <c r="I18" s="87"/>
      <c r="J18" s="138"/>
      <c r="K18" s="137"/>
      <c r="L18" s="134"/>
      <c r="M18" s="136"/>
      <c r="N18" s="135"/>
      <c r="O18" s="135"/>
      <c r="P18" s="134"/>
      <c r="Q18" s="133"/>
      <c r="R18" s="133"/>
      <c r="S18" s="132"/>
      <c r="T18" s="131"/>
      <c r="U18" s="130"/>
      <c r="V18" s="26"/>
      <c r="W18" s="26"/>
      <c r="X18" s="26"/>
      <c r="Y18" s="26"/>
      <c r="Z18" s="27"/>
      <c r="AA18" s="41"/>
      <c r="AB18" s="114"/>
    </row>
    <row r="19" spans="1:28" s="28" customFormat="1" ht="20.100000000000001" customHeight="1">
      <c r="A19" s="129"/>
      <c r="B19" s="139"/>
      <c r="C19" s="79"/>
      <c r="D19" s="85"/>
      <c r="E19" s="86"/>
      <c r="F19" s="87"/>
      <c r="G19" s="85"/>
      <c r="H19" s="86"/>
      <c r="I19" s="87"/>
      <c r="J19" s="138"/>
      <c r="K19" s="137"/>
      <c r="L19" s="134"/>
      <c r="M19" s="136"/>
      <c r="N19" s="135"/>
      <c r="O19" s="135"/>
      <c r="P19" s="134"/>
      <c r="Q19" s="133"/>
      <c r="R19" s="133"/>
      <c r="S19" s="132"/>
      <c r="T19" s="131"/>
      <c r="U19" s="130"/>
      <c r="V19" s="26"/>
      <c r="W19" s="26"/>
      <c r="X19" s="26"/>
      <c r="Y19" s="26"/>
      <c r="Z19" s="27"/>
      <c r="AA19" s="41"/>
      <c r="AB19" s="114"/>
    </row>
    <row r="20" spans="1:28" s="28" customFormat="1" ht="20.100000000000001" customHeight="1">
      <c r="A20" s="129"/>
      <c r="B20" s="139"/>
      <c r="C20" s="79"/>
      <c r="D20" s="85"/>
      <c r="E20" s="86"/>
      <c r="F20" s="87"/>
      <c r="G20" s="85"/>
      <c r="H20" s="86"/>
      <c r="I20" s="87"/>
      <c r="J20" s="138"/>
      <c r="K20" s="137"/>
      <c r="L20" s="134"/>
      <c r="M20" s="136"/>
      <c r="N20" s="135"/>
      <c r="O20" s="135"/>
      <c r="P20" s="134"/>
      <c r="Q20" s="133"/>
      <c r="R20" s="133"/>
      <c r="S20" s="132"/>
      <c r="T20" s="131"/>
      <c r="U20" s="130"/>
      <c r="V20" s="26"/>
      <c r="W20" s="26"/>
      <c r="X20" s="26"/>
      <c r="Y20" s="26"/>
      <c r="Z20" s="27"/>
      <c r="AA20" s="41"/>
      <c r="AB20" s="114"/>
    </row>
    <row r="21" spans="1:28" s="28" customFormat="1" ht="20.100000000000001" customHeight="1">
      <c r="A21" s="129"/>
      <c r="B21" s="139"/>
      <c r="C21" s="79"/>
      <c r="D21" s="85"/>
      <c r="E21" s="86"/>
      <c r="F21" s="87"/>
      <c r="G21" s="85"/>
      <c r="H21" s="86"/>
      <c r="I21" s="87"/>
      <c r="J21" s="138"/>
      <c r="K21" s="137"/>
      <c r="L21" s="134"/>
      <c r="M21" s="136"/>
      <c r="N21" s="135"/>
      <c r="O21" s="135"/>
      <c r="P21" s="134"/>
      <c r="Q21" s="133"/>
      <c r="R21" s="133"/>
      <c r="S21" s="132"/>
      <c r="T21" s="131"/>
      <c r="U21" s="130"/>
      <c r="V21" s="26"/>
      <c r="W21" s="26"/>
      <c r="X21" s="26"/>
      <c r="Y21" s="26"/>
      <c r="Z21" s="27"/>
      <c r="AA21" s="41"/>
      <c r="AB21" s="114"/>
    </row>
    <row r="22" spans="1:28" s="28" customFormat="1" ht="20.100000000000001" customHeight="1">
      <c r="A22" s="129"/>
      <c r="B22" s="139"/>
      <c r="C22" s="79"/>
      <c r="D22" s="85"/>
      <c r="E22" s="86"/>
      <c r="F22" s="87"/>
      <c r="G22" s="85"/>
      <c r="H22" s="86"/>
      <c r="I22" s="87"/>
      <c r="J22" s="138"/>
      <c r="K22" s="137"/>
      <c r="L22" s="134"/>
      <c r="M22" s="136"/>
      <c r="N22" s="135"/>
      <c r="O22" s="135"/>
      <c r="P22" s="134"/>
      <c r="Q22" s="133"/>
      <c r="R22" s="133"/>
      <c r="S22" s="132"/>
      <c r="T22" s="131"/>
      <c r="U22" s="130"/>
      <c r="V22" s="26"/>
      <c r="W22" s="26"/>
      <c r="X22" s="26"/>
      <c r="Y22" s="26"/>
      <c r="Z22" s="27"/>
      <c r="AA22" s="41"/>
      <c r="AB22" s="114"/>
    </row>
    <row r="23" spans="1:28" s="28" customFormat="1" ht="20.100000000000001" customHeight="1">
      <c r="A23" s="129"/>
      <c r="B23" s="139"/>
      <c r="C23" s="79"/>
      <c r="D23" s="85"/>
      <c r="E23" s="86"/>
      <c r="F23" s="87"/>
      <c r="G23" s="85"/>
      <c r="H23" s="86"/>
      <c r="I23" s="87"/>
      <c r="J23" s="138"/>
      <c r="K23" s="137"/>
      <c r="L23" s="134"/>
      <c r="M23" s="136"/>
      <c r="N23" s="135"/>
      <c r="O23" s="135"/>
      <c r="P23" s="134"/>
      <c r="Q23" s="133"/>
      <c r="R23" s="133"/>
      <c r="S23" s="132"/>
      <c r="T23" s="131"/>
      <c r="U23" s="130"/>
      <c r="V23" s="26"/>
      <c r="W23" s="26"/>
      <c r="X23" s="26"/>
      <c r="Y23" s="26"/>
      <c r="Z23" s="27"/>
      <c r="AA23" s="41"/>
      <c r="AB23" s="114"/>
    </row>
    <row r="24" spans="1:28" s="28" customFormat="1" ht="20.100000000000001" customHeight="1">
      <c r="A24" s="129"/>
      <c r="B24" s="139"/>
      <c r="C24" s="79"/>
      <c r="D24" s="85"/>
      <c r="E24" s="86"/>
      <c r="F24" s="87"/>
      <c r="G24" s="85"/>
      <c r="H24" s="86"/>
      <c r="I24" s="87"/>
      <c r="J24" s="138"/>
      <c r="K24" s="137"/>
      <c r="L24" s="134"/>
      <c r="M24" s="136"/>
      <c r="N24" s="135"/>
      <c r="O24" s="135"/>
      <c r="P24" s="134"/>
      <c r="Q24" s="133"/>
      <c r="R24" s="133"/>
      <c r="S24" s="132"/>
      <c r="T24" s="131"/>
      <c r="U24" s="130"/>
      <c r="V24" s="26"/>
      <c r="W24" s="26"/>
      <c r="X24" s="26"/>
      <c r="Y24" s="26"/>
      <c r="Z24" s="27"/>
      <c r="AA24" s="41"/>
      <c r="AB24" s="114"/>
    </row>
    <row r="25" spans="1:28" s="28" customFormat="1" ht="20.100000000000001" customHeight="1">
      <c r="A25" s="129"/>
      <c r="B25" s="139"/>
      <c r="C25" s="79"/>
      <c r="D25" s="85"/>
      <c r="E25" s="86"/>
      <c r="F25" s="87"/>
      <c r="G25" s="85"/>
      <c r="H25" s="86"/>
      <c r="I25" s="87"/>
      <c r="J25" s="138"/>
      <c r="K25" s="137"/>
      <c r="L25" s="134"/>
      <c r="M25" s="136"/>
      <c r="N25" s="135"/>
      <c r="O25" s="135"/>
      <c r="P25" s="134"/>
      <c r="Q25" s="133"/>
      <c r="R25" s="133"/>
      <c r="S25" s="154"/>
      <c r="T25" s="153"/>
      <c r="U25" s="130"/>
      <c r="V25" s="26"/>
      <c r="W25" s="26"/>
      <c r="X25" s="26"/>
      <c r="Y25" s="26"/>
      <c r="Z25" s="27"/>
      <c r="AA25" s="41"/>
      <c r="AB25" s="114"/>
    </row>
    <row r="26" spans="1:28" s="28" customFormat="1" ht="20.100000000000001" customHeight="1">
      <c r="A26" s="129"/>
      <c r="B26" s="139"/>
      <c r="C26" s="79"/>
      <c r="D26" s="85"/>
      <c r="E26" s="86"/>
      <c r="F26" s="87"/>
      <c r="G26" s="85"/>
      <c r="H26" s="86"/>
      <c r="I26" s="87"/>
      <c r="J26" s="138"/>
      <c r="K26" s="137"/>
      <c r="L26" s="134"/>
      <c r="M26" s="136"/>
      <c r="N26" s="135"/>
      <c r="O26" s="135"/>
      <c r="P26" s="134"/>
      <c r="Q26" s="133"/>
      <c r="R26" s="133"/>
      <c r="S26" s="132"/>
      <c r="T26" s="131"/>
      <c r="U26" s="130"/>
      <c r="V26" s="26"/>
      <c r="W26" s="26"/>
      <c r="X26" s="26"/>
      <c r="Y26" s="26"/>
      <c r="Z26" s="27"/>
      <c r="AA26" s="41"/>
      <c r="AB26" s="114"/>
    </row>
    <row r="27" spans="1:28" s="28" customFormat="1" ht="20.100000000000001" customHeight="1">
      <c r="A27" s="129"/>
      <c r="B27" s="139"/>
      <c r="C27" s="79"/>
      <c r="D27" s="85"/>
      <c r="E27" s="86"/>
      <c r="F27" s="87"/>
      <c r="G27" s="85"/>
      <c r="H27" s="86"/>
      <c r="I27" s="87"/>
      <c r="J27" s="138"/>
      <c r="K27" s="137"/>
      <c r="L27" s="134"/>
      <c r="M27" s="136"/>
      <c r="N27" s="135"/>
      <c r="O27" s="135"/>
      <c r="P27" s="134"/>
      <c r="Q27" s="133"/>
      <c r="R27" s="133"/>
      <c r="S27" s="132"/>
      <c r="T27" s="131"/>
      <c r="U27" s="130"/>
      <c r="V27" s="26"/>
      <c r="W27" s="26"/>
      <c r="X27" s="26"/>
      <c r="Y27" s="26"/>
      <c r="Z27" s="27"/>
      <c r="AA27" s="41"/>
      <c r="AB27" s="114"/>
    </row>
    <row r="28" spans="1:28" s="28" customFormat="1" ht="20.100000000000001" customHeight="1">
      <c r="A28" s="129"/>
      <c r="B28" s="139"/>
      <c r="C28" s="79"/>
      <c r="D28" s="85"/>
      <c r="E28" s="86"/>
      <c r="F28" s="87"/>
      <c r="G28" s="85"/>
      <c r="H28" s="86"/>
      <c r="I28" s="87"/>
      <c r="J28" s="138"/>
      <c r="K28" s="137"/>
      <c r="L28" s="134"/>
      <c r="M28" s="136"/>
      <c r="N28" s="135"/>
      <c r="O28" s="135"/>
      <c r="P28" s="134"/>
      <c r="Q28" s="133"/>
      <c r="R28" s="133"/>
      <c r="S28" s="132"/>
      <c r="T28" s="131"/>
      <c r="U28" s="130"/>
      <c r="V28" s="26"/>
      <c r="W28" s="26"/>
      <c r="X28" s="26"/>
      <c r="Y28" s="26"/>
      <c r="Z28" s="27"/>
      <c r="AA28" s="41"/>
      <c r="AB28" s="114"/>
    </row>
    <row r="29" spans="1:28" s="28" customFormat="1" ht="20.100000000000001" customHeight="1">
      <c r="A29" s="129"/>
      <c r="B29" s="139"/>
      <c r="C29" s="79"/>
      <c r="D29" s="85"/>
      <c r="E29" s="86"/>
      <c r="F29" s="87"/>
      <c r="G29" s="85"/>
      <c r="H29" s="86"/>
      <c r="I29" s="87"/>
      <c r="J29" s="138"/>
      <c r="K29" s="137"/>
      <c r="L29" s="134"/>
      <c r="M29" s="136"/>
      <c r="N29" s="135"/>
      <c r="O29" s="135"/>
      <c r="P29" s="134"/>
      <c r="Q29" s="133"/>
      <c r="R29" s="133"/>
      <c r="S29" s="132"/>
      <c r="T29" s="131"/>
      <c r="U29" s="130"/>
      <c r="V29" s="26"/>
      <c r="W29" s="26"/>
      <c r="X29" s="26"/>
      <c r="Y29" s="26"/>
      <c r="Z29" s="27"/>
      <c r="AA29" s="41"/>
      <c r="AB29" s="114"/>
    </row>
    <row r="30" spans="1:28" s="28" customFormat="1" ht="20.100000000000001" customHeight="1">
      <c r="A30" s="129"/>
      <c r="B30" s="139"/>
      <c r="C30" s="79"/>
      <c r="D30" s="85"/>
      <c r="E30" s="86"/>
      <c r="F30" s="87"/>
      <c r="G30" s="85"/>
      <c r="H30" s="86"/>
      <c r="I30" s="87"/>
      <c r="J30" s="138"/>
      <c r="K30" s="137"/>
      <c r="L30" s="134"/>
      <c r="M30" s="136"/>
      <c r="N30" s="135"/>
      <c r="O30" s="135"/>
      <c r="P30" s="134"/>
      <c r="Q30" s="133"/>
      <c r="R30" s="133"/>
      <c r="S30" s="132"/>
      <c r="T30" s="131"/>
      <c r="U30" s="130"/>
      <c r="V30" s="26"/>
      <c r="W30" s="26"/>
      <c r="X30" s="26"/>
      <c r="Y30" s="26"/>
      <c r="Z30" s="27"/>
      <c r="AA30" s="41"/>
      <c r="AB30" s="114"/>
    </row>
    <row r="31" spans="1:28" s="28" customFormat="1" ht="20.100000000000001" customHeight="1">
      <c r="A31" s="129"/>
      <c r="B31" s="139"/>
      <c r="C31" s="79"/>
      <c r="D31" s="85"/>
      <c r="E31" s="86"/>
      <c r="F31" s="87"/>
      <c r="G31" s="85"/>
      <c r="H31" s="86"/>
      <c r="I31" s="87"/>
      <c r="J31" s="138"/>
      <c r="K31" s="137"/>
      <c r="L31" s="134"/>
      <c r="M31" s="136"/>
      <c r="N31" s="135"/>
      <c r="O31" s="135"/>
      <c r="P31" s="134"/>
      <c r="Q31" s="133"/>
      <c r="R31" s="133"/>
      <c r="S31" s="132"/>
      <c r="T31" s="131"/>
      <c r="U31" s="130"/>
      <c r="V31" s="26"/>
      <c r="W31" s="26"/>
      <c r="X31" s="26"/>
      <c r="Y31" s="26"/>
      <c r="Z31" s="27"/>
      <c r="AA31" s="41"/>
      <c r="AB31" s="114"/>
    </row>
    <row r="32" spans="1:28" s="28" customFormat="1" ht="20.100000000000001" customHeight="1">
      <c r="A32" s="129"/>
      <c r="B32" s="139"/>
      <c r="C32" s="79"/>
      <c r="D32" s="85"/>
      <c r="E32" s="86"/>
      <c r="F32" s="87"/>
      <c r="G32" s="85"/>
      <c r="H32" s="86"/>
      <c r="I32" s="87"/>
      <c r="J32" s="138"/>
      <c r="K32" s="137"/>
      <c r="L32" s="134"/>
      <c r="M32" s="136"/>
      <c r="N32" s="135"/>
      <c r="O32" s="135"/>
      <c r="P32" s="134"/>
      <c r="Q32" s="133"/>
      <c r="R32" s="133"/>
      <c r="S32" s="132"/>
      <c r="T32" s="131"/>
      <c r="U32" s="130"/>
      <c r="V32" s="26"/>
      <c r="W32" s="26"/>
      <c r="X32" s="26"/>
      <c r="Y32" s="26"/>
      <c r="Z32" s="27"/>
      <c r="AA32" s="41"/>
      <c r="AB32" s="114"/>
    </row>
    <row r="33" spans="1:28" s="28" customFormat="1" ht="20.100000000000001" customHeight="1">
      <c r="A33" s="129"/>
      <c r="B33" s="139"/>
      <c r="C33" s="79"/>
      <c r="D33" s="85"/>
      <c r="E33" s="86"/>
      <c r="F33" s="87"/>
      <c r="G33" s="85"/>
      <c r="H33" s="86"/>
      <c r="I33" s="87"/>
      <c r="J33" s="138"/>
      <c r="K33" s="137"/>
      <c r="L33" s="134"/>
      <c r="M33" s="136"/>
      <c r="N33" s="135"/>
      <c r="O33" s="135"/>
      <c r="P33" s="134"/>
      <c r="Q33" s="133"/>
      <c r="R33" s="133"/>
      <c r="S33" s="132"/>
      <c r="T33" s="131"/>
      <c r="U33" s="130"/>
      <c r="V33" s="26"/>
      <c r="W33" s="26"/>
      <c r="X33" s="26"/>
      <c r="Y33" s="26"/>
      <c r="Z33" s="27"/>
      <c r="AA33" s="41"/>
      <c r="AB33" s="114"/>
    </row>
    <row r="34" spans="1:28" s="28" customFormat="1" ht="20.100000000000001" customHeight="1">
      <c r="A34" s="129"/>
      <c r="B34" s="139"/>
      <c r="C34" s="79"/>
      <c r="D34" s="85"/>
      <c r="E34" s="86"/>
      <c r="F34" s="87"/>
      <c r="G34" s="85"/>
      <c r="H34" s="86"/>
      <c r="I34" s="87"/>
      <c r="J34" s="138"/>
      <c r="K34" s="137"/>
      <c r="L34" s="134"/>
      <c r="M34" s="136"/>
      <c r="N34" s="135"/>
      <c r="O34" s="135"/>
      <c r="P34" s="134"/>
      <c r="Q34" s="133"/>
      <c r="R34" s="133"/>
      <c r="S34" s="132"/>
      <c r="T34" s="131"/>
      <c r="U34" s="130"/>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133"/>
      <c r="R35" s="133"/>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133"/>
      <c r="R36" s="133"/>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133"/>
      <c r="R37" s="133"/>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28" customFormat="1" ht="20.100000000000001" customHeight="1">
      <c r="A48" s="129"/>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114"/>
    </row>
    <row r="49" spans="1:28" s="9" customFormat="1" ht="20.100000000000001" customHeight="1">
      <c r="A49" s="14"/>
      <c r="B49" s="128"/>
      <c r="C49" s="127"/>
      <c r="D49" s="126"/>
      <c r="E49" s="125"/>
      <c r="F49" s="124"/>
      <c r="G49" s="126"/>
      <c r="H49" s="125"/>
      <c r="I49" s="124"/>
      <c r="J49" s="123"/>
      <c r="K49" s="122"/>
      <c r="L49" s="119"/>
      <c r="M49" s="121"/>
      <c r="N49" s="120"/>
      <c r="O49" s="120"/>
      <c r="P49" s="119"/>
      <c r="Q49" s="118"/>
      <c r="R49" s="118"/>
      <c r="S49" s="117"/>
      <c r="T49" s="116"/>
      <c r="U49" s="115"/>
      <c r="V49" s="26"/>
      <c r="W49" s="26"/>
      <c r="X49" s="26"/>
      <c r="Y49" s="26"/>
      <c r="Z49" s="27"/>
      <c r="AA49" s="41"/>
      <c r="AB49" s="42"/>
    </row>
    <row r="50" spans="1:28" ht="20.100000000000001" customHeight="1">
      <c r="B50" s="109"/>
      <c r="C50" s="113"/>
      <c r="D50" s="2670" t="s">
        <v>18</v>
      </c>
      <c r="E50" s="2671"/>
      <c r="F50" s="2671"/>
      <c r="G50" s="2671"/>
      <c r="H50" s="2671"/>
      <c r="I50" s="2672"/>
      <c r="J50" s="2694" t="e">
        <f>VLOOKUP(A52,#REF!,6,FALSE)</f>
        <v>#REF!</v>
      </c>
      <c r="K50" s="2695"/>
      <c r="L50" s="112" t="s">
        <v>8</v>
      </c>
      <c r="M50" s="2696" t="s">
        <v>19</v>
      </c>
      <c r="N50" s="2697"/>
      <c r="O50" s="2697"/>
      <c r="P50" s="2697"/>
      <c r="Q50" s="2698"/>
      <c r="R50" s="111">
        <f>SUM(R14:R49)</f>
        <v>56.56</v>
      </c>
      <c r="S50" s="110" t="str">
        <f>L50</f>
        <v>m</v>
      </c>
      <c r="T50" s="106"/>
      <c r="U50" s="105"/>
    </row>
    <row r="51" spans="1:28" ht="20.100000000000001" customHeight="1">
      <c r="B51" s="109"/>
      <c r="C51" s="72"/>
      <c r="D51" s="2678" t="s">
        <v>20</v>
      </c>
      <c r="E51" s="2728"/>
      <c r="F51" s="2728"/>
      <c r="G51" s="2728"/>
      <c r="H51" s="2728"/>
      <c r="I51" s="2729"/>
      <c r="J51" s="2699" t="e">
        <f>R50/J50</f>
        <v>#REF!</v>
      </c>
      <c r="K51" s="2730"/>
      <c r="L51" s="2703"/>
      <c r="M51" s="2705" t="s">
        <v>21</v>
      </c>
      <c r="N51" s="2706"/>
      <c r="O51" s="2706"/>
      <c r="P51" s="2706"/>
      <c r="Q51" s="2707"/>
      <c r="R51" s="108">
        <f>SUM(R14:R16)</f>
        <v>56.56</v>
      </c>
      <c r="S51" s="107" t="str">
        <f>L50</f>
        <v>m</v>
      </c>
      <c r="T51" s="106"/>
      <c r="U51" s="105"/>
    </row>
    <row r="52" spans="1:28" ht="20.100000000000001" customHeight="1">
      <c r="A52" s="12" t="s">
        <v>94</v>
      </c>
      <c r="B52" s="213"/>
      <c r="C52" s="73"/>
      <c r="D52" s="2670"/>
      <c r="E52" s="2671"/>
      <c r="F52" s="2671"/>
      <c r="G52" s="2671"/>
      <c r="H52" s="2671"/>
      <c r="I52" s="2672"/>
      <c r="J52" s="2701"/>
      <c r="K52" s="2702"/>
      <c r="L52" s="2704"/>
      <c r="M52" s="2705" t="s">
        <v>22</v>
      </c>
      <c r="N52" s="2706"/>
      <c r="O52" s="2706"/>
      <c r="P52" s="2706"/>
      <c r="Q52" s="2707"/>
      <c r="R52" s="103">
        <f>R50-R51</f>
        <v>0</v>
      </c>
      <c r="S52" s="102" t="str">
        <f>L50</f>
        <v>m</v>
      </c>
      <c r="T52" s="101"/>
      <c r="U52" s="100"/>
    </row>
  </sheetData>
  <mergeCells count="33">
    <mergeCell ref="D50:I50"/>
    <mergeCell ref="J50:K50"/>
    <mergeCell ref="M50:Q50"/>
    <mergeCell ref="N12:N13"/>
    <mergeCell ref="O12:O13"/>
    <mergeCell ref="Q12:Q13"/>
    <mergeCell ref="L12:L13"/>
    <mergeCell ref="D51:I52"/>
    <mergeCell ref="J51:K52"/>
    <mergeCell ref="L51:L52"/>
    <mergeCell ref="M51:Q51"/>
    <mergeCell ref="M52:Q52"/>
    <mergeCell ref="V5:AA5"/>
    <mergeCell ref="B6:I6"/>
    <mergeCell ref="T8:U8"/>
    <mergeCell ref="B12:B13"/>
    <mergeCell ref="C12:C13"/>
    <mergeCell ref="D12:I12"/>
    <mergeCell ref="J12:J13"/>
    <mergeCell ref="K12:K13"/>
    <mergeCell ref="U12:U13"/>
    <mergeCell ref="R12:R13"/>
    <mergeCell ref="S12:S13"/>
    <mergeCell ref="D13:F13"/>
    <mergeCell ref="P12:P13"/>
    <mergeCell ref="C11:L11"/>
    <mergeCell ref="T12:T13"/>
    <mergeCell ref="K6:U6"/>
    <mergeCell ref="T9:U9"/>
    <mergeCell ref="M12:M13"/>
    <mergeCell ref="T10:U10"/>
    <mergeCell ref="G13:I13"/>
    <mergeCell ref="B1:U5"/>
  </mergeCells>
  <conditionalFormatting sqref="J51:K52">
    <cfRule type="cellIs" dxfId="3" priority="1" operator="greaterThanOrEqual">
      <formula>1</formula>
    </cfRule>
    <cfRule type="cellIs" dxfId="2" priority="2" operator="greaterThan">
      <formula>100%</formula>
    </cfRule>
  </conditionalFormatting>
  <printOptions horizontalCentered="1"/>
  <pageMargins left="0.39370078740157483" right="0.39370078740157483" top="0.78740157480314965" bottom="0.78740157480314965" header="0" footer="0.19685039370078741"/>
  <pageSetup paperSize="9" scale="44" fitToHeight="2"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446A2C"/>
    <pageSetUpPr fitToPage="1"/>
  </sheetPr>
  <dimension ref="A1:AJ52"/>
  <sheetViews>
    <sheetView showGridLines="0" view="pageBreakPreview" topLeftCell="A7" zoomScale="60" zoomScaleNormal="100" workbookViewId="0">
      <selection activeCell="R52" sqref="R52"/>
    </sheetView>
  </sheetViews>
  <sheetFormatPr defaultRowHeight="12.75"/>
  <cols>
    <col min="1" max="1" width="9.140625" style="12"/>
    <col min="2" max="2" width="14.28515625" style="74" customWidth="1"/>
    <col min="3" max="3" width="60.5703125" style="8" customWidth="1"/>
    <col min="4" max="4" width="8.7109375" style="8" customWidth="1"/>
    <col min="5" max="5" width="2.42578125" style="8" customWidth="1"/>
    <col min="6" max="7" width="8.7109375" style="8" customWidth="1"/>
    <col min="8" max="8" width="2.42578125" style="8" customWidth="1"/>
    <col min="9" max="9" width="8.7109375" style="8" customWidth="1"/>
    <col min="10" max="10" width="9.42578125" style="8" customWidth="1"/>
    <col min="11" max="11" width="16.42578125" style="8" customWidth="1"/>
    <col min="12" max="18" width="15.7109375" style="8" customWidth="1"/>
    <col min="19" max="19" width="9" style="8" customWidth="1"/>
    <col min="20" max="20" width="15.7109375" style="8" customWidth="1"/>
    <col min="21" max="21" width="38.140625" style="8" bestFit="1" customWidth="1"/>
    <col min="22" max="27" width="9.140625" style="8"/>
    <col min="28" max="28" width="12.7109375" style="15" customWidth="1"/>
    <col min="29" max="16384" width="9.140625" style="8"/>
  </cols>
  <sheetData>
    <row r="1" spans="1:36" ht="18.75" customHeight="1">
      <c r="B1" s="2652" t="s">
        <v>115</v>
      </c>
      <c r="C1" s="2653"/>
      <c r="D1" s="2653"/>
      <c r="E1" s="2653"/>
      <c r="F1" s="2653"/>
      <c r="G1" s="2653"/>
      <c r="H1" s="2653"/>
      <c r="I1" s="2653"/>
      <c r="J1" s="2653"/>
      <c r="K1" s="2653"/>
      <c r="L1" s="2653"/>
      <c r="M1" s="2653"/>
      <c r="N1" s="2653"/>
      <c r="O1" s="2653"/>
      <c r="P1" s="2653"/>
      <c r="Q1" s="2653"/>
      <c r="R1" s="2653"/>
      <c r="S1" s="2653"/>
      <c r="T1" s="2653"/>
      <c r="U1" s="2653"/>
    </row>
    <row r="2" spans="1:36" ht="18.75" customHeight="1">
      <c r="B2" s="2653"/>
      <c r="C2" s="2653"/>
      <c r="D2" s="2653"/>
      <c r="E2" s="2653"/>
      <c r="F2" s="2653"/>
      <c r="G2" s="2653"/>
      <c r="H2" s="2653"/>
      <c r="I2" s="2653"/>
      <c r="J2" s="2653"/>
      <c r="K2" s="2653"/>
      <c r="L2" s="2653"/>
      <c r="M2" s="2653"/>
      <c r="N2" s="2653"/>
      <c r="O2" s="2653"/>
      <c r="P2" s="2653"/>
      <c r="Q2" s="2653"/>
      <c r="R2" s="2653"/>
      <c r="S2" s="2653"/>
      <c r="T2" s="2653"/>
      <c r="U2" s="2653"/>
    </row>
    <row r="3" spans="1:36" ht="18.75" customHeight="1">
      <c r="B3" s="2653"/>
      <c r="C3" s="2653"/>
      <c r="D3" s="2653"/>
      <c r="E3" s="2653"/>
      <c r="F3" s="2653"/>
      <c r="G3" s="2653"/>
      <c r="H3" s="2653"/>
      <c r="I3" s="2653"/>
      <c r="J3" s="2653"/>
      <c r="K3" s="2653"/>
      <c r="L3" s="2653"/>
      <c r="M3" s="2653"/>
      <c r="N3" s="2653"/>
      <c r="O3" s="2653"/>
      <c r="P3" s="2653"/>
      <c r="Q3" s="2653"/>
      <c r="R3" s="2653"/>
      <c r="S3" s="2653"/>
      <c r="T3" s="2653"/>
      <c r="U3" s="2653"/>
    </row>
    <row r="4" spans="1:36" ht="18.75" customHeight="1">
      <c r="B4" s="2653"/>
      <c r="C4" s="2653"/>
      <c r="D4" s="2653"/>
      <c r="E4" s="2653"/>
      <c r="F4" s="2653"/>
      <c r="G4" s="2653"/>
      <c r="H4" s="2653"/>
      <c r="I4" s="2653"/>
      <c r="J4" s="2653"/>
      <c r="K4" s="2653"/>
      <c r="L4" s="2653"/>
      <c r="M4" s="2653"/>
      <c r="N4" s="2653"/>
      <c r="O4" s="2653"/>
      <c r="P4" s="2653"/>
      <c r="Q4" s="2653"/>
      <c r="R4" s="2653"/>
      <c r="S4" s="2653"/>
      <c r="T4" s="2653"/>
      <c r="U4" s="2653"/>
    </row>
    <row r="5" spans="1:36" ht="18.75" customHeight="1">
      <c r="B5" s="2653"/>
      <c r="C5" s="2653"/>
      <c r="D5" s="2653"/>
      <c r="E5" s="2653"/>
      <c r="F5" s="2653"/>
      <c r="G5" s="2653"/>
      <c r="H5" s="2653"/>
      <c r="I5" s="2653"/>
      <c r="J5" s="2653"/>
      <c r="K5" s="2653"/>
      <c r="L5" s="2653"/>
      <c r="M5" s="2653"/>
      <c r="N5" s="2653"/>
      <c r="O5" s="2653"/>
      <c r="P5" s="2653"/>
      <c r="Q5" s="2653"/>
      <c r="R5" s="2653"/>
      <c r="S5" s="2653"/>
      <c r="T5" s="2653"/>
      <c r="U5" s="2653"/>
      <c r="V5" s="2654"/>
      <c r="W5" s="2654"/>
      <c r="X5" s="2654"/>
      <c r="Y5" s="2654"/>
      <c r="Z5" s="2654"/>
      <c r="AA5" s="2654"/>
    </row>
    <row r="6" spans="1:36" s="18" customFormat="1" ht="15.75" customHeight="1">
      <c r="A6" s="16"/>
      <c r="B6" s="2690" t="s">
        <v>9</v>
      </c>
      <c r="C6" s="2657"/>
      <c r="D6" s="2657"/>
      <c r="E6" s="2657"/>
      <c r="F6" s="2657"/>
      <c r="G6" s="2657"/>
      <c r="H6" s="2657"/>
      <c r="I6" s="2657"/>
      <c r="J6" s="238"/>
      <c r="K6" s="2649" t="s">
        <v>10</v>
      </c>
      <c r="L6" s="2650"/>
      <c r="M6" s="2650"/>
      <c r="N6" s="2650"/>
      <c r="O6" s="2650"/>
      <c r="P6" s="2650"/>
      <c r="Q6" s="2650"/>
      <c r="R6" s="2650"/>
      <c r="S6" s="2650"/>
      <c r="T6" s="2650"/>
      <c r="U6" s="2651"/>
      <c r="V6" s="99"/>
      <c r="W6" s="99"/>
      <c r="X6" s="99"/>
      <c r="Y6" s="99"/>
      <c r="Z6" s="99"/>
      <c r="AA6" s="99"/>
      <c r="AB6" s="17"/>
    </row>
    <row r="7" spans="1:36" s="20" customFormat="1" ht="15.75">
      <c r="A7" s="19"/>
      <c r="B7" s="152" t="s">
        <v>96</v>
      </c>
      <c r="C7" s="149" t="e">
        <f>#REF!</f>
        <v>#REF!</v>
      </c>
      <c r="D7" s="145"/>
      <c r="E7" s="92"/>
      <c r="F7" s="92"/>
      <c r="G7" s="145"/>
      <c r="H7" s="92"/>
      <c r="I7" s="92"/>
      <c r="J7" s="200"/>
      <c r="K7" s="151" t="s">
        <v>190</v>
      </c>
      <c r="L7" s="239"/>
      <c r="M7" s="240"/>
      <c r="N7" s="240"/>
      <c r="O7" s="240"/>
      <c r="P7" s="240"/>
      <c r="Q7" s="240"/>
      <c r="R7" s="240"/>
      <c r="S7" s="239"/>
      <c r="T7" s="239"/>
      <c r="U7" s="241"/>
      <c r="AB7" s="21"/>
    </row>
    <row r="8" spans="1:36" s="20" customFormat="1" ht="15.75">
      <c r="A8" s="19"/>
      <c r="B8" s="148" t="s">
        <v>79</v>
      </c>
      <c r="C8" s="149" t="e">
        <f>#REF!</f>
        <v>#REF!</v>
      </c>
      <c r="D8" s="145"/>
      <c r="E8" s="92"/>
      <c r="F8" s="92"/>
      <c r="G8" s="145"/>
      <c r="H8" s="92"/>
      <c r="I8" s="92"/>
      <c r="J8" s="144"/>
      <c r="K8" s="146" t="s">
        <v>191</v>
      </c>
      <c r="L8" s="145"/>
      <c r="M8" s="145"/>
      <c r="N8" s="96"/>
      <c r="O8" s="96"/>
      <c r="P8" s="96"/>
      <c r="Q8" s="96"/>
      <c r="R8" s="96"/>
      <c r="S8" s="145"/>
      <c r="T8" s="2647"/>
      <c r="U8" s="2648"/>
      <c r="AB8" s="21"/>
    </row>
    <row r="9" spans="1:36" s="20" customFormat="1" ht="15.75">
      <c r="A9" s="19"/>
      <c r="B9" s="148" t="s">
        <v>11</v>
      </c>
      <c r="C9" s="147" t="e">
        <f>VLOOKUP(B9,[0]!_xlnm.Print_Area,2,FALSE)</f>
        <v>#REF!</v>
      </c>
      <c r="D9" s="145"/>
      <c r="E9" s="92"/>
      <c r="F9" s="92"/>
      <c r="G9" s="145"/>
      <c r="H9" s="92"/>
      <c r="I9" s="92"/>
      <c r="J9" s="144"/>
      <c r="K9" s="146" t="s">
        <v>192</v>
      </c>
      <c r="L9" s="92"/>
      <c r="M9" s="92"/>
      <c r="N9" s="92"/>
      <c r="O9" s="92"/>
      <c r="P9" s="92"/>
      <c r="Q9" s="92"/>
      <c r="R9" s="92"/>
      <c r="S9" s="92"/>
      <c r="T9" s="2658"/>
      <c r="U9" s="2659"/>
      <c r="AA9" s="22"/>
      <c r="AB9" s="22"/>
      <c r="AC9" s="22"/>
      <c r="AD9" s="22"/>
      <c r="AE9" s="22"/>
      <c r="AF9" s="22"/>
      <c r="AG9" s="22"/>
      <c r="AH9" s="22"/>
      <c r="AI9" s="22"/>
      <c r="AJ9" s="22"/>
    </row>
    <row r="10" spans="1:36" s="20" customFormat="1" ht="15.75">
      <c r="A10" s="19"/>
      <c r="B10" s="148" t="s">
        <v>12</v>
      </c>
      <c r="C10" s="147" t="e">
        <f>VLOOKUP(B10,[0]!_xlnm.Print_Area,2,FALSE)</f>
        <v>#REF!</v>
      </c>
      <c r="D10" s="145"/>
      <c r="E10" s="92"/>
      <c r="F10" s="92"/>
      <c r="G10" s="145"/>
      <c r="H10" s="92"/>
      <c r="I10" s="92"/>
      <c r="J10" s="201"/>
      <c r="K10" s="146" t="s">
        <v>193</v>
      </c>
      <c r="L10" s="92"/>
      <c r="M10" s="92"/>
      <c r="N10" s="92"/>
      <c r="O10" s="92"/>
      <c r="P10" s="202"/>
      <c r="Q10" s="92"/>
      <c r="R10" s="92"/>
      <c r="S10" s="92"/>
      <c r="T10" s="2660"/>
      <c r="U10" s="2661"/>
      <c r="AA10" s="22"/>
      <c r="AB10" s="22"/>
      <c r="AC10" s="22"/>
      <c r="AD10" s="22"/>
      <c r="AE10" s="22"/>
      <c r="AF10" s="22"/>
      <c r="AG10" s="22"/>
      <c r="AH10" s="22"/>
      <c r="AI10" s="22"/>
      <c r="AJ10" s="22"/>
    </row>
    <row r="11" spans="1:36" s="29" customFormat="1" ht="21" customHeight="1">
      <c r="A11" s="23"/>
      <c r="B11" s="143" t="str">
        <f>LEFT(A52,2)</f>
        <v>10</v>
      </c>
      <c r="C11" s="2692" t="s">
        <v>282</v>
      </c>
      <c r="D11" s="2693"/>
      <c r="E11" s="2693"/>
      <c r="F11" s="2693"/>
      <c r="G11" s="2693"/>
      <c r="H11" s="2693"/>
      <c r="I11" s="2693"/>
      <c r="J11" s="2693"/>
      <c r="K11" s="2693"/>
      <c r="L11" s="2693"/>
      <c r="M11" s="242"/>
      <c r="N11" s="242"/>
      <c r="O11" s="242"/>
      <c r="P11" s="242"/>
      <c r="Q11" s="242"/>
      <c r="R11" s="242"/>
      <c r="S11" s="242"/>
      <c r="T11" s="242"/>
      <c r="U11" s="243"/>
      <c r="V11" s="26"/>
      <c r="W11" s="26"/>
      <c r="X11" s="26"/>
      <c r="Y11" s="26"/>
      <c r="Z11" s="27"/>
      <c r="AA11" s="28"/>
      <c r="AB11" s="28"/>
      <c r="AC11" s="28"/>
      <c r="AD11" s="28"/>
      <c r="AE11" s="28"/>
      <c r="AF11" s="28"/>
      <c r="AG11" s="28"/>
      <c r="AH11" s="28"/>
      <c r="AI11" s="28"/>
      <c r="AJ11" s="28"/>
    </row>
    <row r="12" spans="1:36" s="29" customFormat="1" ht="24.95" customHeight="1">
      <c r="A12" s="23"/>
      <c r="B12" s="2664" t="e">
        <f>VLOOKUP(A52,#REF!,2,FALSE)</f>
        <v>#REF!</v>
      </c>
      <c r="C12" s="2665" t="e">
        <f>VLOOKUP(A52,#REF!,3,FALSE)</f>
        <v>#REF!</v>
      </c>
      <c r="D12" s="2666" t="s">
        <v>97</v>
      </c>
      <c r="E12" s="2666"/>
      <c r="F12" s="2666"/>
      <c r="G12" s="2666"/>
      <c r="H12" s="2666"/>
      <c r="I12" s="2666"/>
      <c r="J12" s="2668" t="s">
        <v>98</v>
      </c>
      <c r="K12" s="2668" t="s">
        <v>102</v>
      </c>
      <c r="L12" s="2668" t="s">
        <v>220</v>
      </c>
      <c r="M12" s="2668" t="s">
        <v>113</v>
      </c>
      <c r="N12" s="2668" t="s">
        <v>112</v>
      </c>
      <c r="O12" s="2668" t="s">
        <v>221</v>
      </c>
      <c r="P12" s="2668" t="s">
        <v>111</v>
      </c>
      <c r="Q12" s="2668" t="s">
        <v>16</v>
      </c>
      <c r="R12" s="2668" t="s">
        <v>2</v>
      </c>
      <c r="S12" s="2668" t="s">
        <v>99</v>
      </c>
      <c r="T12" s="2668" t="s">
        <v>17</v>
      </c>
      <c r="U12" s="2667" t="s">
        <v>110</v>
      </c>
      <c r="V12" s="26"/>
      <c r="W12" s="26"/>
      <c r="X12" s="26"/>
      <c r="Y12" s="26"/>
      <c r="Z12" s="27"/>
      <c r="AA12" s="28"/>
      <c r="AB12" s="28"/>
      <c r="AC12" s="28"/>
      <c r="AD12" s="28"/>
      <c r="AE12" s="28"/>
      <c r="AF12" s="28"/>
      <c r="AG12" s="28"/>
      <c r="AH12" s="28"/>
      <c r="AI12" s="28"/>
      <c r="AJ12" s="28"/>
    </row>
    <row r="13" spans="1:36" s="29" customFormat="1" ht="24.95" customHeight="1">
      <c r="A13" s="23"/>
      <c r="B13" s="2664"/>
      <c r="C13" s="2665"/>
      <c r="D13" s="2669" t="s">
        <v>14</v>
      </c>
      <c r="E13" s="2669"/>
      <c r="F13" s="2669"/>
      <c r="G13" s="2667" t="s">
        <v>15</v>
      </c>
      <c r="H13" s="2667"/>
      <c r="I13" s="2667"/>
      <c r="J13" s="2417"/>
      <c r="K13" s="2417"/>
      <c r="L13" s="2417"/>
      <c r="M13" s="2417"/>
      <c r="N13" s="2417"/>
      <c r="O13" s="2417"/>
      <c r="P13" s="2417"/>
      <c r="Q13" s="2417"/>
      <c r="R13" s="2417"/>
      <c r="S13" s="2417"/>
      <c r="T13" s="2417"/>
      <c r="U13" s="2667"/>
      <c r="V13" s="26"/>
      <c r="W13" s="26"/>
      <c r="X13" s="26"/>
      <c r="Y13" s="26"/>
      <c r="Z13" s="27"/>
      <c r="AA13" s="28"/>
      <c r="AB13" s="28"/>
      <c r="AC13" s="28"/>
      <c r="AD13" s="28"/>
      <c r="AE13" s="28"/>
      <c r="AF13" s="28"/>
      <c r="AG13" s="28"/>
      <c r="AH13" s="28"/>
      <c r="AI13" s="28"/>
      <c r="AJ13" s="28"/>
    </row>
    <row r="14" spans="1:36" s="28" customFormat="1" ht="20.100000000000001" customHeight="1">
      <c r="A14" s="129"/>
      <c r="B14" s="139"/>
      <c r="C14" s="244" t="s">
        <v>213</v>
      </c>
      <c r="D14" s="43">
        <v>303</v>
      </c>
      <c r="E14" s="44" t="s">
        <v>68</v>
      </c>
      <c r="F14" s="45">
        <v>10</v>
      </c>
      <c r="G14" s="43">
        <v>307</v>
      </c>
      <c r="H14" s="44" t="s">
        <v>68</v>
      </c>
      <c r="I14" s="45">
        <v>0</v>
      </c>
      <c r="J14" s="46" t="s">
        <v>105</v>
      </c>
      <c r="K14" s="35"/>
      <c r="L14" s="48"/>
      <c r="M14" s="49"/>
      <c r="N14" s="50"/>
      <c r="O14" s="50"/>
      <c r="P14" s="48"/>
      <c r="Q14" s="53"/>
      <c r="R14" s="53">
        <v>4</v>
      </c>
      <c r="S14" s="54" t="s">
        <v>101</v>
      </c>
      <c r="T14" s="141" t="s">
        <v>93</v>
      </c>
      <c r="U14" s="39" t="s">
        <v>227</v>
      </c>
      <c r="V14" s="26"/>
      <c r="W14" s="26"/>
      <c r="X14" s="26"/>
      <c r="Y14" s="26"/>
      <c r="Z14" s="27"/>
    </row>
    <row r="15" spans="1:36" s="28" customFormat="1" ht="20.100000000000001" customHeight="1">
      <c r="A15" s="129"/>
      <c r="B15" s="139"/>
      <c r="C15" s="79"/>
      <c r="D15" s="85"/>
      <c r="E15" s="86"/>
      <c r="F15" s="87"/>
      <c r="G15" s="85"/>
      <c r="H15" s="86"/>
      <c r="I15" s="87"/>
      <c r="J15" s="138"/>
      <c r="K15" s="215"/>
      <c r="L15" s="134"/>
      <c r="M15" s="136"/>
      <c r="N15" s="135"/>
      <c r="O15" s="135"/>
      <c r="P15" s="134"/>
      <c r="Q15" s="133"/>
      <c r="R15" s="133"/>
      <c r="S15" s="132"/>
      <c r="T15" s="140"/>
      <c r="U15" s="212"/>
      <c r="V15" s="26"/>
      <c r="W15" s="26"/>
      <c r="X15" s="26"/>
      <c r="Y15" s="26"/>
      <c r="Z15" s="27"/>
      <c r="AA15" s="41"/>
      <c r="AB15" s="114"/>
    </row>
    <row r="16" spans="1:36" s="28" customFormat="1" ht="20.100000000000001" customHeight="1">
      <c r="A16" s="129"/>
      <c r="B16" s="139"/>
      <c r="C16" s="79"/>
      <c r="D16" s="85"/>
      <c r="E16" s="86"/>
      <c r="F16" s="87"/>
      <c r="G16" s="85"/>
      <c r="H16" s="86"/>
      <c r="I16" s="87"/>
      <c r="J16" s="138"/>
      <c r="K16" s="193"/>
      <c r="L16" s="134"/>
      <c r="M16" s="136"/>
      <c r="N16" s="135"/>
      <c r="O16" s="135"/>
      <c r="P16" s="134"/>
      <c r="Q16" s="133"/>
      <c r="R16" s="133"/>
      <c r="S16" s="132"/>
      <c r="T16" s="131"/>
      <c r="U16" s="130"/>
      <c r="V16" s="26"/>
      <c r="W16" s="26"/>
      <c r="X16" s="26"/>
      <c r="Y16" s="26"/>
      <c r="Z16" s="27"/>
      <c r="AA16" s="41"/>
      <c r="AB16" s="114"/>
    </row>
    <row r="17" spans="1:28" s="28" customFormat="1" ht="20.100000000000001" customHeight="1">
      <c r="A17" s="129"/>
      <c r="B17" s="139"/>
      <c r="C17" s="79"/>
      <c r="D17" s="85"/>
      <c r="E17" s="86"/>
      <c r="F17" s="87"/>
      <c r="G17" s="85"/>
      <c r="H17" s="86"/>
      <c r="I17" s="87"/>
      <c r="J17" s="138"/>
      <c r="K17" s="193"/>
      <c r="L17" s="134"/>
      <c r="M17" s="136"/>
      <c r="N17" s="135"/>
      <c r="O17" s="135"/>
      <c r="P17" s="134"/>
      <c r="Q17" s="133"/>
      <c r="R17" s="133"/>
      <c r="S17" s="132"/>
      <c r="T17" s="131"/>
      <c r="U17" s="130"/>
      <c r="V17" s="26"/>
      <c r="W17" s="26"/>
      <c r="X17" s="26"/>
      <c r="Y17" s="26"/>
      <c r="Z17" s="27"/>
      <c r="AA17" s="41"/>
      <c r="AB17" s="114"/>
    </row>
    <row r="18" spans="1:28" s="28" customFormat="1" ht="20.100000000000001" customHeight="1">
      <c r="A18" s="129"/>
      <c r="B18" s="139"/>
      <c r="C18" s="79"/>
      <c r="D18" s="85"/>
      <c r="E18" s="86"/>
      <c r="F18" s="87"/>
      <c r="G18" s="85"/>
      <c r="H18" s="86"/>
      <c r="I18" s="87"/>
      <c r="J18" s="138"/>
      <c r="K18" s="137"/>
      <c r="L18" s="134"/>
      <c r="M18" s="136"/>
      <c r="N18" s="135"/>
      <c r="O18" s="135"/>
      <c r="P18" s="134"/>
      <c r="Q18" s="133"/>
      <c r="R18" s="133"/>
      <c r="S18" s="132"/>
      <c r="T18" s="131"/>
      <c r="U18" s="130"/>
      <c r="V18" s="26"/>
      <c r="W18" s="26"/>
      <c r="X18" s="26"/>
      <c r="Y18" s="26"/>
      <c r="Z18" s="27"/>
      <c r="AA18" s="41"/>
      <c r="AB18" s="114"/>
    </row>
    <row r="19" spans="1:28" s="28" customFormat="1" ht="20.100000000000001" customHeight="1">
      <c r="A19" s="129"/>
      <c r="B19" s="139"/>
      <c r="C19" s="79"/>
      <c r="D19" s="85"/>
      <c r="E19" s="86"/>
      <c r="F19" s="87"/>
      <c r="G19" s="85"/>
      <c r="H19" s="86"/>
      <c r="I19" s="87"/>
      <c r="J19" s="138"/>
      <c r="K19" s="137"/>
      <c r="L19" s="134"/>
      <c r="M19" s="136"/>
      <c r="N19" s="135"/>
      <c r="O19" s="135"/>
      <c r="P19" s="134"/>
      <c r="Q19" s="133"/>
      <c r="R19" s="133"/>
      <c r="S19" s="132"/>
      <c r="T19" s="131"/>
      <c r="U19" s="130"/>
      <c r="V19" s="26"/>
      <c r="W19" s="26"/>
      <c r="X19" s="26"/>
      <c r="Y19" s="26"/>
      <c r="Z19" s="27"/>
      <c r="AA19" s="41"/>
      <c r="AB19" s="114"/>
    </row>
    <row r="20" spans="1:28" s="28" customFormat="1" ht="20.100000000000001" customHeight="1">
      <c r="A20" s="129"/>
      <c r="B20" s="139"/>
      <c r="C20" s="79"/>
      <c r="D20" s="85"/>
      <c r="E20" s="86"/>
      <c r="F20" s="87"/>
      <c r="G20" s="85"/>
      <c r="H20" s="86"/>
      <c r="I20" s="87"/>
      <c r="J20" s="138"/>
      <c r="K20" s="137"/>
      <c r="L20" s="134"/>
      <c r="M20" s="136"/>
      <c r="N20" s="135"/>
      <c r="O20" s="135"/>
      <c r="P20" s="134"/>
      <c r="Q20" s="133"/>
      <c r="R20" s="133"/>
      <c r="S20" s="132"/>
      <c r="T20" s="131"/>
      <c r="U20" s="130"/>
      <c r="V20" s="26"/>
      <c r="W20" s="26"/>
      <c r="X20" s="26"/>
      <c r="Y20" s="26"/>
      <c r="Z20" s="27"/>
      <c r="AA20" s="41"/>
      <c r="AB20" s="114"/>
    </row>
    <row r="21" spans="1:28" s="28" customFormat="1" ht="20.100000000000001" customHeight="1">
      <c r="A21" s="129"/>
      <c r="B21" s="139"/>
      <c r="C21" s="79"/>
      <c r="D21" s="85"/>
      <c r="E21" s="86"/>
      <c r="F21" s="87"/>
      <c r="G21" s="85"/>
      <c r="H21" s="86"/>
      <c r="I21" s="87"/>
      <c r="J21" s="138"/>
      <c r="K21" s="137"/>
      <c r="L21" s="134"/>
      <c r="M21" s="136"/>
      <c r="N21" s="135"/>
      <c r="O21" s="135"/>
      <c r="P21" s="134"/>
      <c r="Q21" s="133"/>
      <c r="R21" s="133"/>
      <c r="S21" s="132"/>
      <c r="T21" s="131"/>
      <c r="U21" s="130"/>
      <c r="V21" s="26"/>
      <c r="W21" s="26"/>
      <c r="X21" s="26"/>
      <c r="Y21" s="26"/>
      <c r="Z21" s="27"/>
      <c r="AA21" s="41"/>
      <c r="AB21" s="114"/>
    </row>
    <row r="22" spans="1:28" s="28" customFormat="1" ht="20.100000000000001" customHeight="1">
      <c r="A22" s="129"/>
      <c r="B22" s="139"/>
      <c r="C22" s="79"/>
      <c r="D22" s="85"/>
      <c r="E22" s="86"/>
      <c r="F22" s="87"/>
      <c r="G22" s="85"/>
      <c r="H22" s="86"/>
      <c r="I22" s="87"/>
      <c r="J22" s="138"/>
      <c r="K22" s="137"/>
      <c r="L22" s="134"/>
      <c r="M22" s="136"/>
      <c r="N22" s="135"/>
      <c r="O22" s="135"/>
      <c r="P22" s="134"/>
      <c r="Q22" s="133"/>
      <c r="R22" s="133"/>
      <c r="S22" s="132"/>
      <c r="T22" s="131"/>
      <c r="U22" s="130"/>
      <c r="V22" s="26"/>
      <c r="W22" s="26"/>
      <c r="X22" s="26"/>
      <c r="Y22" s="26"/>
      <c r="Z22" s="27"/>
      <c r="AA22" s="41"/>
      <c r="AB22" s="114"/>
    </row>
    <row r="23" spans="1:28" s="28" customFormat="1" ht="20.100000000000001" customHeight="1">
      <c r="A23" s="129"/>
      <c r="B23" s="139"/>
      <c r="C23" s="79"/>
      <c r="D23" s="85"/>
      <c r="E23" s="86"/>
      <c r="F23" s="87"/>
      <c r="G23" s="85"/>
      <c r="H23" s="86"/>
      <c r="I23" s="87"/>
      <c r="J23" s="138"/>
      <c r="K23" s="137"/>
      <c r="L23" s="134"/>
      <c r="M23" s="136"/>
      <c r="N23" s="135"/>
      <c r="O23" s="135"/>
      <c r="P23" s="134"/>
      <c r="Q23" s="133"/>
      <c r="R23" s="133"/>
      <c r="S23" s="132"/>
      <c r="T23" s="131"/>
      <c r="U23" s="130"/>
      <c r="V23" s="26"/>
      <c r="W23" s="26"/>
      <c r="X23" s="26"/>
      <c r="Y23" s="26"/>
      <c r="Z23" s="27"/>
      <c r="AA23" s="41"/>
      <c r="AB23" s="114"/>
    </row>
    <row r="24" spans="1:28" s="28" customFormat="1" ht="20.100000000000001" customHeight="1">
      <c r="A24" s="129"/>
      <c r="B24" s="139"/>
      <c r="C24" s="79"/>
      <c r="D24" s="85"/>
      <c r="E24" s="86"/>
      <c r="F24" s="87"/>
      <c r="G24" s="85"/>
      <c r="H24" s="86"/>
      <c r="I24" s="87"/>
      <c r="J24" s="138"/>
      <c r="K24" s="137"/>
      <c r="L24" s="134"/>
      <c r="M24" s="136"/>
      <c r="N24" s="135"/>
      <c r="O24" s="135"/>
      <c r="P24" s="134"/>
      <c r="Q24" s="133"/>
      <c r="R24" s="133"/>
      <c r="S24" s="132"/>
      <c r="T24" s="131"/>
      <c r="U24" s="130"/>
      <c r="V24" s="26"/>
      <c r="W24" s="26"/>
      <c r="X24" s="26"/>
      <c r="Y24" s="26"/>
      <c r="Z24" s="27"/>
      <c r="AA24" s="41"/>
      <c r="AB24" s="114"/>
    </row>
    <row r="25" spans="1:28" s="28" customFormat="1" ht="20.100000000000001" customHeight="1">
      <c r="A25" s="129"/>
      <c r="B25" s="139"/>
      <c r="C25" s="79"/>
      <c r="D25" s="85"/>
      <c r="E25" s="86"/>
      <c r="F25" s="87"/>
      <c r="G25" s="85"/>
      <c r="H25" s="86"/>
      <c r="I25" s="87"/>
      <c r="J25" s="138"/>
      <c r="K25" s="137"/>
      <c r="L25" s="134"/>
      <c r="M25" s="136"/>
      <c r="N25" s="135"/>
      <c r="O25" s="135"/>
      <c r="P25" s="134"/>
      <c r="Q25" s="133"/>
      <c r="R25" s="133"/>
      <c r="S25" s="154"/>
      <c r="T25" s="153"/>
      <c r="U25" s="130"/>
      <c r="V25" s="26"/>
      <c r="W25" s="26"/>
      <c r="X25" s="26"/>
      <c r="Y25" s="26"/>
      <c r="Z25" s="27"/>
      <c r="AA25" s="41"/>
      <c r="AB25" s="114"/>
    </row>
    <row r="26" spans="1:28" s="28" customFormat="1" ht="20.100000000000001" customHeight="1">
      <c r="A26" s="129"/>
      <c r="B26" s="139"/>
      <c r="C26" s="79"/>
      <c r="D26" s="85"/>
      <c r="E26" s="86"/>
      <c r="F26" s="87"/>
      <c r="G26" s="85"/>
      <c r="H26" s="86"/>
      <c r="I26" s="87"/>
      <c r="J26" s="138"/>
      <c r="K26" s="137"/>
      <c r="L26" s="134"/>
      <c r="M26" s="136"/>
      <c r="N26" s="135"/>
      <c r="O26" s="135"/>
      <c r="P26" s="134"/>
      <c r="Q26" s="133"/>
      <c r="R26" s="133"/>
      <c r="S26" s="132"/>
      <c r="T26" s="131"/>
      <c r="U26" s="130"/>
      <c r="V26" s="26"/>
      <c r="W26" s="26"/>
      <c r="X26" s="26"/>
      <c r="Y26" s="26"/>
      <c r="Z26" s="27"/>
      <c r="AA26" s="41"/>
      <c r="AB26" s="114"/>
    </row>
    <row r="27" spans="1:28" s="28" customFormat="1" ht="20.100000000000001" customHeight="1">
      <c r="A27" s="129"/>
      <c r="B27" s="139"/>
      <c r="C27" s="79"/>
      <c r="D27" s="85"/>
      <c r="E27" s="86"/>
      <c r="F27" s="87"/>
      <c r="G27" s="85"/>
      <c r="H27" s="86"/>
      <c r="I27" s="87"/>
      <c r="J27" s="138"/>
      <c r="K27" s="137"/>
      <c r="L27" s="134"/>
      <c r="M27" s="136"/>
      <c r="N27" s="135"/>
      <c r="O27" s="135"/>
      <c r="P27" s="134"/>
      <c r="Q27" s="133"/>
      <c r="R27" s="133"/>
      <c r="S27" s="132"/>
      <c r="T27" s="131"/>
      <c r="U27" s="130"/>
      <c r="V27" s="26"/>
      <c r="W27" s="26"/>
      <c r="X27" s="26"/>
      <c r="Y27" s="26"/>
      <c r="Z27" s="27"/>
      <c r="AA27" s="41"/>
      <c r="AB27" s="114"/>
    </row>
    <row r="28" spans="1:28" s="28" customFormat="1" ht="20.100000000000001" customHeight="1">
      <c r="A28" s="129"/>
      <c r="B28" s="139"/>
      <c r="C28" s="79"/>
      <c r="D28" s="85"/>
      <c r="E28" s="86"/>
      <c r="F28" s="87"/>
      <c r="G28" s="85"/>
      <c r="H28" s="86"/>
      <c r="I28" s="87"/>
      <c r="J28" s="138"/>
      <c r="K28" s="137"/>
      <c r="L28" s="134"/>
      <c r="M28" s="136"/>
      <c r="N28" s="135"/>
      <c r="O28" s="135"/>
      <c r="P28" s="134"/>
      <c r="Q28" s="133"/>
      <c r="R28" s="133"/>
      <c r="S28" s="132"/>
      <c r="T28" s="131"/>
      <c r="U28" s="130"/>
      <c r="V28" s="26"/>
      <c r="W28" s="26"/>
      <c r="X28" s="26"/>
      <c r="Y28" s="26"/>
      <c r="Z28" s="27"/>
      <c r="AA28" s="41"/>
      <c r="AB28" s="114"/>
    </row>
    <row r="29" spans="1:28" s="28" customFormat="1" ht="20.100000000000001" customHeight="1">
      <c r="A29" s="129"/>
      <c r="B29" s="139"/>
      <c r="C29" s="79"/>
      <c r="D29" s="85"/>
      <c r="E29" s="86"/>
      <c r="F29" s="87"/>
      <c r="G29" s="85"/>
      <c r="H29" s="86"/>
      <c r="I29" s="87"/>
      <c r="J29" s="138"/>
      <c r="K29" s="137"/>
      <c r="L29" s="134"/>
      <c r="M29" s="136"/>
      <c r="N29" s="135"/>
      <c r="O29" s="135"/>
      <c r="P29" s="134"/>
      <c r="Q29" s="133"/>
      <c r="R29" s="133"/>
      <c r="S29" s="132"/>
      <c r="T29" s="131"/>
      <c r="U29" s="130"/>
      <c r="V29" s="26"/>
      <c r="W29" s="26"/>
      <c r="X29" s="26"/>
      <c r="Y29" s="26"/>
      <c r="Z29" s="27"/>
      <c r="AA29" s="41"/>
      <c r="AB29" s="114"/>
    </row>
    <row r="30" spans="1:28" s="28" customFormat="1" ht="20.100000000000001" customHeight="1">
      <c r="A30" s="129"/>
      <c r="B30" s="139"/>
      <c r="C30" s="79"/>
      <c r="D30" s="85"/>
      <c r="E30" s="86"/>
      <c r="F30" s="87"/>
      <c r="G30" s="85"/>
      <c r="H30" s="86"/>
      <c r="I30" s="87"/>
      <c r="J30" s="138"/>
      <c r="K30" s="137"/>
      <c r="L30" s="134"/>
      <c r="M30" s="136"/>
      <c r="N30" s="135"/>
      <c r="O30" s="135"/>
      <c r="P30" s="134"/>
      <c r="Q30" s="133"/>
      <c r="R30" s="133"/>
      <c r="S30" s="132"/>
      <c r="T30" s="131"/>
      <c r="U30" s="130"/>
      <c r="V30" s="26"/>
      <c r="W30" s="26"/>
      <c r="X30" s="26"/>
      <c r="Y30" s="26"/>
      <c r="Z30" s="27"/>
      <c r="AA30" s="41"/>
      <c r="AB30" s="114"/>
    </row>
    <row r="31" spans="1:28" s="28" customFormat="1" ht="20.100000000000001" customHeight="1">
      <c r="A31" s="129"/>
      <c r="B31" s="139"/>
      <c r="C31" s="79"/>
      <c r="D31" s="85"/>
      <c r="E31" s="86"/>
      <c r="F31" s="87"/>
      <c r="G31" s="85"/>
      <c r="H31" s="86"/>
      <c r="I31" s="87"/>
      <c r="J31" s="138"/>
      <c r="K31" s="137"/>
      <c r="L31" s="134"/>
      <c r="M31" s="136"/>
      <c r="N31" s="135"/>
      <c r="O31" s="135"/>
      <c r="P31" s="134"/>
      <c r="Q31" s="133"/>
      <c r="R31" s="133"/>
      <c r="S31" s="132"/>
      <c r="T31" s="131"/>
      <c r="U31" s="130"/>
      <c r="V31" s="26"/>
      <c r="W31" s="26"/>
      <c r="X31" s="26"/>
      <c r="Y31" s="26"/>
      <c r="Z31" s="27"/>
      <c r="AA31" s="41"/>
      <c r="AB31" s="114"/>
    </row>
    <row r="32" spans="1:28" s="28" customFormat="1" ht="20.100000000000001" customHeight="1">
      <c r="A32" s="129"/>
      <c r="B32" s="139"/>
      <c r="C32" s="79"/>
      <c r="D32" s="85"/>
      <c r="E32" s="86"/>
      <c r="F32" s="87"/>
      <c r="G32" s="85"/>
      <c r="H32" s="86"/>
      <c r="I32" s="87"/>
      <c r="J32" s="138"/>
      <c r="K32" s="137"/>
      <c r="L32" s="134"/>
      <c r="M32" s="136"/>
      <c r="N32" s="135"/>
      <c r="O32" s="135"/>
      <c r="P32" s="134"/>
      <c r="Q32" s="133"/>
      <c r="R32" s="133"/>
      <c r="S32" s="132"/>
      <c r="T32" s="131"/>
      <c r="U32" s="130"/>
      <c r="V32" s="26"/>
      <c r="W32" s="26"/>
      <c r="X32" s="26"/>
      <c r="Y32" s="26"/>
      <c r="Z32" s="27"/>
      <c r="AA32" s="41"/>
      <c r="AB32" s="114"/>
    </row>
    <row r="33" spans="1:28" s="28" customFormat="1" ht="20.100000000000001" customHeight="1">
      <c r="A33" s="129"/>
      <c r="B33" s="139"/>
      <c r="C33" s="79"/>
      <c r="D33" s="85"/>
      <c r="E33" s="86"/>
      <c r="F33" s="87"/>
      <c r="G33" s="85"/>
      <c r="H33" s="86"/>
      <c r="I33" s="87"/>
      <c r="J33" s="138"/>
      <c r="K33" s="137"/>
      <c r="L33" s="134"/>
      <c r="M33" s="136"/>
      <c r="N33" s="135"/>
      <c r="O33" s="135"/>
      <c r="P33" s="134"/>
      <c r="Q33" s="133"/>
      <c r="R33" s="133"/>
      <c r="S33" s="132"/>
      <c r="T33" s="131"/>
      <c r="U33" s="130"/>
      <c r="V33" s="26"/>
      <c r="W33" s="26"/>
      <c r="X33" s="26"/>
      <c r="Y33" s="26"/>
      <c r="Z33" s="27"/>
      <c r="AA33" s="41"/>
      <c r="AB33" s="114"/>
    </row>
    <row r="34" spans="1:28" s="28" customFormat="1" ht="20.100000000000001" customHeight="1">
      <c r="A34" s="129"/>
      <c r="B34" s="139"/>
      <c r="C34" s="79"/>
      <c r="D34" s="85"/>
      <c r="E34" s="86"/>
      <c r="F34" s="87"/>
      <c r="G34" s="85"/>
      <c r="H34" s="86"/>
      <c r="I34" s="87"/>
      <c r="J34" s="138"/>
      <c r="K34" s="137"/>
      <c r="L34" s="134"/>
      <c r="M34" s="136"/>
      <c r="N34" s="135"/>
      <c r="O34" s="135"/>
      <c r="P34" s="134"/>
      <c r="Q34" s="133"/>
      <c r="R34" s="133"/>
      <c r="S34" s="132"/>
      <c r="T34" s="131"/>
      <c r="U34" s="130"/>
      <c r="V34" s="26"/>
      <c r="W34" s="26"/>
      <c r="X34" s="26"/>
      <c r="Y34" s="26"/>
      <c r="Z34" s="27"/>
      <c r="AA34" s="41"/>
      <c r="AB34" s="114"/>
    </row>
    <row r="35" spans="1:28" s="28" customFormat="1" ht="20.100000000000001" customHeight="1">
      <c r="A35" s="129"/>
      <c r="B35" s="139"/>
      <c r="C35" s="79"/>
      <c r="D35" s="85"/>
      <c r="E35" s="86"/>
      <c r="F35" s="87"/>
      <c r="G35" s="85"/>
      <c r="H35" s="86"/>
      <c r="I35" s="87"/>
      <c r="J35" s="138"/>
      <c r="K35" s="137"/>
      <c r="L35" s="134"/>
      <c r="M35" s="136"/>
      <c r="N35" s="135"/>
      <c r="O35" s="135"/>
      <c r="P35" s="134"/>
      <c r="Q35" s="133"/>
      <c r="R35" s="133"/>
      <c r="S35" s="132"/>
      <c r="T35" s="131"/>
      <c r="U35" s="130"/>
      <c r="V35" s="26"/>
      <c r="W35" s="26"/>
      <c r="X35" s="26"/>
      <c r="Y35" s="26"/>
      <c r="Z35" s="27"/>
      <c r="AA35" s="41"/>
      <c r="AB35" s="114"/>
    </row>
    <row r="36" spans="1:28" s="28" customFormat="1" ht="20.100000000000001" customHeight="1">
      <c r="A36" s="129"/>
      <c r="B36" s="139"/>
      <c r="C36" s="79"/>
      <c r="D36" s="85"/>
      <c r="E36" s="86"/>
      <c r="F36" s="87"/>
      <c r="G36" s="85"/>
      <c r="H36" s="86"/>
      <c r="I36" s="87"/>
      <c r="J36" s="138"/>
      <c r="K36" s="137"/>
      <c r="L36" s="134"/>
      <c r="M36" s="136"/>
      <c r="N36" s="135"/>
      <c r="O36" s="135"/>
      <c r="P36" s="134"/>
      <c r="Q36" s="133"/>
      <c r="R36" s="133"/>
      <c r="S36" s="132"/>
      <c r="T36" s="131"/>
      <c r="U36" s="130"/>
      <c r="V36" s="26"/>
      <c r="W36" s="26"/>
      <c r="X36" s="26"/>
      <c r="Y36" s="26"/>
      <c r="Z36" s="27"/>
      <c r="AA36" s="41"/>
      <c r="AB36" s="114"/>
    </row>
    <row r="37" spans="1:28" s="28" customFormat="1" ht="20.100000000000001" customHeight="1">
      <c r="A37" s="129"/>
      <c r="B37" s="139"/>
      <c r="C37" s="79"/>
      <c r="D37" s="85"/>
      <c r="E37" s="86"/>
      <c r="F37" s="87"/>
      <c r="G37" s="85"/>
      <c r="H37" s="86"/>
      <c r="I37" s="87"/>
      <c r="J37" s="138"/>
      <c r="K37" s="137"/>
      <c r="L37" s="134"/>
      <c r="M37" s="136"/>
      <c r="N37" s="135"/>
      <c r="O37" s="135"/>
      <c r="P37" s="134"/>
      <c r="Q37" s="133"/>
      <c r="R37" s="133"/>
      <c r="S37" s="132"/>
      <c r="T37" s="131"/>
      <c r="U37" s="130"/>
      <c r="V37" s="26"/>
      <c r="W37" s="26"/>
      <c r="X37" s="26"/>
      <c r="Y37" s="26"/>
      <c r="Z37" s="27"/>
      <c r="AA37" s="41"/>
      <c r="AB37" s="114"/>
    </row>
    <row r="38" spans="1:28" s="28" customFormat="1" ht="20.100000000000001" customHeight="1">
      <c r="A38" s="129"/>
      <c r="B38" s="139"/>
      <c r="C38" s="79"/>
      <c r="D38" s="85"/>
      <c r="E38" s="86"/>
      <c r="F38" s="87"/>
      <c r="G38" s="85"/>
      <c r="H38" s="86"/>
      <c r="I38" s="87"/>
      <c r="J38" s="138"/>
      <c r="K38" s="137"/>
      <c r="L38" s="134"/>
      <c r="M38" s="136"/>
      <c r="N38" s="135"/>
      <c r="O38" s="135"/>
      <c r="P38" s="134"/>
      <c r="Q38" s="133"/>
      <c r="R38" s="133"/>
      <c r="S38" s="132"/>
      <c r="T38" s="131"/>
      <c r="U38" s="130"/>
      <c r="V38" s="26"/>
      <c r="W38" s="26"/>
      <c r="X38" s="26"/>
      <c r="Y38" s="26"/>
      <c r="Z38" s="27"/>
      <c r="AA38" s="41"/>
      <c r="AB38" s="114"/>
    </row>
    <row r="39" spans="1:28" s="28" customFormat="1" ht="20.100000000000001" customHeight="1">
      <c r="A39" s="129"/>
      <c r="B39" s="139"/>
      <c r="C39" s="79"/>
      <c r="D39" s="85"/>
      <c r="E39" s="86"/>
      <c r="F39" s="87"/>
      <c r="G39" s="85"/>
      <c r="H39" s="86"/>
      <c r="I39" s="87"/>
      <c r="J39" s="138"/>
      <c r="K39" s="137"/>
      <c r="L39" s="134"/>
      <c r="M39" s="136"/>
      <c r="N39" s="135"/>
      <c r="O39" s="135"/>
      <c r="P39" s="134"/>
      <c r="Q39" s="133"/>
      <c r="R39" s="133"/>
      <c r="S39" s="132"/>
      <c r="T39" s="131"/>
      <c r="U39" s="130"/>
      <c r="V39" s="26"/>
      <c r="W39" s="26"/>
      <c r="X39" s="26"/>
      <c r="Y39" s="26"/>
      <c r="Z39" s="27"/>
      <c r="AA39" s="41"/>
      <c r="AB39" s="114"/>
    </row>
    <row r="40" spans="1:28" s="28" customFormat="1" ht="20.100000000000001" customHeight="1">
      <c r="A40" s="129"/>
      <c r="B40" s="139"/>
      <c r="C40" s="79"/>
      <c r="D40" s="85"/>
      <c r="E40" s="86"/>
      <c r="F40" s="87"/>
      <c r="G40" s="85"/>
      <c r="H40" s="86"/>
      <c r="I40" s="87"/>
      <c r="J40" s="138"/>
      <c r="K40" s="137"/>
      <c r="L40" s="134"/>
      <c r="M40" s="136"/>
      <c r="N40" s="135"/>
      <c r="O40" s="135"/>
      <c r="P40" s="134"/>
      <c r="Q40" s="133"/>
      <c r="R40" s="133"/>
      <c r="S40" s="132"/>
      <c r="T40" s="131"/>
      <c r="U40" s="130"/>
      <c r="V40" s="26"/>
      <c r="W40" s="26"/>
      <c r="X40" s="26"/>
      <c r="Y40" s="26"/>
      <c r="Z40" s="27"/>
      <c r="AA40" s="41"/>
      <c r="AB40" s="114"/>
    </row>
    <row r="41" spans="1:28" s="28" customFormat="1" ht="20.100000000000001" customHeight="1">
      <c r="A41" s="129"/>
      <c r="B41" s="139"/>
      <c r="C41" s="79"/>
      <c r="D41" s="85"/>
      <c r="E41" s="86"/>
      <c r="F41" s="87"/>
      <c r="G41" s="85"/>
      <c r="H41" s="86"/>
      <c r="I41" s="87"/>
      <c r="J41" s="138"/>
      <c r="K41" s="137"/>
      <c r="L41" s="134"/>
      <c r="M41" s="136"/>
      <c r="N41" s="135"/>
      <c r="O41" s="135"/>
      <c r="P41" s="134"/>
      <c r="Q41" s="133"/>
      <c r="R41" s="133"/>
      <c r="S41" s="132"/>
      <c r="T41" s="131"/>
      <c r="U41" s="130"/>
      <c r="V41" s="26"/>
      <c r="W41" s="26"/>
      <c r="X41" s="26"/>
      <c r="Y41" s="26"/>
      <c r="Z41" s="27"/>
      <c r="AA41" s="41"/>
      <c r="AB41" s="114"/>
    </row>
    <row r="42" spans="1:28" s="28" customFormat="1" ht="20.100000000000001" customHeight="1">
      <c r="A42" s="129"/>
      <c r="B42" s="139"/>
      <c r="C42" s="79"/>
      <c r="D42" s="85"/>
      <c r="E42" s="86"/>
      <c r="F42" s="87"/>
      <c r="G42" s="85"/>
      <c r="H42" s="86"/>
      <c r="I42" s="87"/>
      <c r="J42" s="138"/>
      <c r="K42" s="137"/>
      <c r="L42" s="134"/>
      <c r="M42" s="136"/>
      <c r="N42" s="135"/>
      <c r="O42" s="135"/>
      <c r="P42" s="134"/>
      <c r="Q42" s="133"/>
      <c r="R42" s="133"/>
      <c r="S42" s="132"/>
      <c r="T42" s="131"/>
      <c r="U42" s="130"/>
      <c r="V42" s="26"/>
      <c r="W42" s="26"/>
      <c r="X42" s="26"/>
      <c r="Y42" s="26"/>
      <c r="Z42" s="27"/>
      <c r="AA42" s="41"/>
      <c r="AB42" s="114"/>
    </row>
    <row r="43" spans="1:28" s="28" customFormat="1" ht="20.100000000000001" customHeight="1">
      <c r="A43" s="129"/>
      <c r="B43" s="139"/>
      <c r="C43" s="79"/>
      <c r="D43" s="85"/>
      <c r="E43" s="86"/>
      <c r="F43" s="87"/>
      <c r="G43" s="85"/>
      <c r="H43" s="86"/>
      <c r="I43" s="87"/>
      <c r="J43" s="138"/>
      <c r="K43" s="137"/>
      <c r="L43" s="134"/>
      <c r="M43" s="136"/>
      <c r="N43" s="135"/>
      <c r="O43" s="135"/>
      <c r="P43" s="134"/>
      <c r="Q43" s="133"/>
      <c r="R43" s="133"/>
      <c r="S43" s="132"/>
      <c r="T43" s="131"/>
      <c r="U43" s="130"/>
      <c r="V43" s="26"/>
      <c r="W43" s="26"/>
      <c r="X43" s="26"/>
      <c r="Y43" s="26"/>
      <c r="Z43" s="27"/>
      <c r="AA43" s="41"/>
      <c r="AB43" s="114"/>
    </row>
    <row r="44" spans="1:28" s="28" customFormat="1" ht="20.100000000000001" customHeight="1">
      <c r="A44" s="129"/>
      <c r="B44" s="139"/>
      <c r="C44" s="79"/>
      <c r="D44" s="85"/>
      <c r="E44" s="86"/>
      <c r="F44" s="87"/>
      <c r="G44" s="85"/>
      <c r="H44" s="86"/>
      <c r="I44" s="87"/>
      <c r="J44" s="138"/>
      <c r="K44" s="137"/>
      <c r="L44" s="134"/>
      <c r="M44" s="136"/>
      <c r="N44" s="135"/>
      <c r="O44" s="135"/>
      <c r="P44" s="134"/>
      <c r="Q44" s="133"/>
      <c r="R44" s="133"/>
      <c r="S44" s="132"/>
      <c r="T44" s="131"/>
      <c r="U44" s="130"/>
      <c r="V44" s="26"/>
      <c r="W44" s="26"/>
      <c r="X44" s="26"/>
      <c r="Y44" s="26"/>
      <c r="Z44" s="27"/>
      <c r="AA44" s="41"/>
      <c r="AB44" s="114"/>
    </row>
    <row r="45" spans="1:28" s="28" customFormat="1" ht="20.100000000000001" customHeight="1">
      <c r="A45" s="129"/>
      <c r="B45" s="139"/>
      <c r="C45" s="79"/>
      <c r="D45" s="85"/>
      <c r="E45" s="86"/>
      <c r="F45" s="87"/>
      <c r="G45" s="85"/>
      <c r="H45" s="86"/>
      <c r="I45" s="87"/>
      <c r="J45" s="138"/>
      <c r="K45" s="137"/>
      <c r="L45" s="134"/>
      <c r="M45" s="136"/>
      <c r="N45" s="135"/>
      <c r="O45" s="135"/>
      <c r="P45" s="134"/>
      <c r="Q45" s="133"/>
      <c r="R45" s="133"/>
      <c r="S45" s="132"/>
      <c r="T45" s="131"/>
      <c r="U45" s="130"/>
      <c r="V45" s="26"/>
      <c r="W45" s="26"/>
      <c r="X45" s="26"/>
      <c r="Y45" s="26"/>
      <c r="Z45" s="27"/>
      <c r="AA45" s="41"/>
      <c r="AB45" s="114"/>
    </row>
    <row r="46" spans="1:28" s="28" customFormat="1" ht="20.100000000000001" customHeight="1">
      <c r="A46" s="129"/>
      <c r="B46" s="139"/>
      <c r="C46" s="79"/>
      <c r="D46" s="85"/>
      <c r="E46" s="86"/>
      <c r="F46" s="87"/>
      <c r="G46" s="85"/>
      <c r="H46" s="86"/>
      <c r="I46" s="87"/>
      <c r="J46" s="138"/>
      <c r="K46" s="137"/>
      <c r="L46" s="134"/>
      <c r="M46" s="136"/>
      <c r="N46" s="135"/>
      <c r="O46" s="135"/>
      <c r="P46" s="134"/>
      <c r="Q46" s="133"/>
      <c r="R46" s="133"/>
      <c r="S46" s="132"/>
      <c r="T46" s="131"/>
      <c r="U46" s="130"/>
      <c r="V46" s="26"/>
      <c r="W46" s="26"/>
      <c r="X46" s="26"/>
      <c r="Y46" s="26"/>
      <c r="Z46" s="27"/>
      <c r="AA46" s="41"/>
      <c r="AB46" s="114"/>
    </row>
    <row r="47" spans="1:28" s="28" customFormat="1" ht="20.100000000000001" customHeight="1">
      <c r="A47" s="129"/>
      <c r="B47" s="139"/>
      <c r="C47" s="79"/>
      <c r="D47" s="85"/>
      <c r="E47" s="86"/>
      <c r="F47" s="87"/>
      <c r="G47" s="85"/>
      <c r="H47" s="86"/>
      <c r="I47" s="87"/>
      <c r="J47" s="138"/>
      <c r="K47" s="137"/>
      <c r="L47" s="134"/>
      <c r="M47" s="136"/>
      <c r="N47" s="135"/>
      <c r="O47" s="135"/>
      <c r="P47" s="134"/>
      <c r="Q47" s="133"/>
      <c r="R47" s="133"/>
      <c r="S47" s="132"/>
      <c r="T47" s="131"/>
      <c r="U47" s="130"/>
      <c r="V47" s="26"/>
      <c r="W47" s="26"/>
      <c r="X47" s="26"/>
      <c r="Y47" s="26"/>
      <c r="Z47" s="27"/>
      <c r="AA47" s="41"/>
      <c r="AB47" s="114"/>
    </row>
    <row r="48" spans="1:28" s="28" customFormat="1" ht="20.100000000000001" customHeight="1">
      <c r="A48" s="129"/>
      <c r="B48" s="139"/>
      <c r="C48" s="79"/>
      <c r="D48" s="85"/>
      <c r="E48" s="86"/>
      <c r="F48" s="87"/>
      <c r="G48" s="85"/>
      <c r="H48" s="86"/>
      <c r="I48" s="87"/>
      <c r="J48" s="138"/>
      <c r="K48" s="137"/>
      <c r="L48" s="134"/>
      <c r="M48" s="136"/>
      <c r="N48" s="135"/>
      <c r="O48" s="135"/>
      <c r="P48" s="134"/>
      <c r="Q48" s="133"/>
      <c r="R48" s="133"/>
      <c r="S48" s="132"/>
      <c r="T48" s="131"/>
      <c r="U48" s="130"/>
      <c r="V48" s="26"/>
      <c r="W48" s="26"/>
      <c r="X48" s="26"/>
      <c r="Y48" s="26"/>
      <c r="Z48" s="27"/>
      <c r="AA48" s="41"/>
      <c r="AB48" s="114"/>
    </row>
    <row r="49" spans="1:28" s="9" customFormat="1" ht="20.100000000000001" customHeight="1">
      <c r="A49" s="14"/>
      <c r="B49" s="128"/>
      <c r="C49" s="127"/>
      <c r="D49" s="126"/>
      <c r="E49" s="125"/>
      <c r="F49" s="124"/>
      <c r="G49" s="126"/>
      <c r="H49" s="125"/>
      <c r="I49" s="124"/>
      <c r="J49" s="123"/>
      <c r="K49" s="122"/>
      <c r="L49" s="119"/>
      <c r="M49" s="121"/>
      <c r="N49" s="120"/>
      <c r="O49" s="120"/>
      <c r="P49" s="119"/>
      <c r="Q49" s="118"/>
      <c r="R49" s="118"/>
      <c r="S49" s="117"/>
      <c r="T49" s="116"/>
      <c r="U49" s="115"/>
      <c r="V49" s="26"/>
      <c r="W49" s="26"/>
      <c r="X49" s="26"/>
      <c r="Y49" s="26"/>
      <c r="Z49" s="27"/>
      <c r="AA49" s="41"/>
      <c r="AB49" s="42"/>
    </row>
    <row r="50" spans="1:28" ht="20.100000000000001" customHeight="1">
      <c r="B50" s="109"/>
      <c r="C50" s="113"/>
      <c r="D50" s="2670" t="s">
        <v>18</v>
      </c>
      <c r="E50" s="2671"/>
      <c r="F50" s="2671"/>
      <c r="G50" s="2671"/>
      <c r="H50" s="2671"/>
      <c r="I50" s="2672"/>
      <c r="J50" s="2694" t="e">
        <f>VLOOKUP(A52,#REF!,6,FALSE)</f>
        <v>#REF!</v>
      </c>
      <c r="K50" s="2695"/>
      <c r="L50" s="112" t="s">
        <v>178</v>
      </c>
      <c r="M50" s="2696" t="s">
        <v>19</v>
      </c>
      <c r="N50" s="2697"/>
      <c r="O50" s="2697"/>
      <c r="P50" s="2697"/>
      <c r="Q50" s="2698"/>
      <c r="R50" s="111">
        <f>SUM(R14:R49)</f>
        <v>4</v>
      </c>
      <c r="S50" s="110" t="str">
        <f>L50</f>
        <v>Ud</v>
      </c>
      <c r="T50" s="106"/>
      <c r="U50" s="105"/>
    </row>
    <row r="51" spans="1:28" ht="20.100000000000001" customHeight="1">
      <c r="B51" s="109"/>
      <c r="C51" s="72"/>
      <c r="D51" s="2678" t="s">
        <v>20</v>
      </c>
      <c r="E51" s="2728"/>
      <c r="F51" s="2728"/>
      <c r="G51" s="2728"/>
      <c r="H51" s="2728"/>
      <c r="I51" s="2729"/>
      <c r="J51" s="2699" t="e">
        <f>R50/J50</f>
        <v>#REF!</v>
      </c>
      <c r="K51" s="2730"/>
      <c r="L51" s="2703"/>
      <c r="M51" s="2705" t="s">
        <v>21</v>
      </c>
      <c r="N51" s="2706"/>
      <c r="O51" s="2706"/>
      <c r="P51" s="2706"/>
      <c r="Q51" s="2707"/>
      <c r="R51" s="108">
        <f>SUM(R14)</f>
        <v>4</v>
      </c>
      <c r="S51" s="107" t="str">
        <f>L50</f>
        <v>Ud</v>
      </c>
      <c r="T51" s="106"/>
      <c r="U51" s="105"/>
    </row>
    <row r="52" spans="1:28" ht="20.100000000000001" customHeight="1">
      <c r="A52" s="12" t="s">
        <v>95</v>
      </c>
      <c r="B52" s="213"/>
      <c r="C52" s="73"/>
      <c r="D52" s="2670"/>
      <c r="E52" s="2671"/>
      <c r="F52" s="2671"/>
      <c r="G52" s="2671"/>
      <c r="H52" s="2671"/>
      <c r="I52" s="2672"/>
      <c r="J52" s="2701"/>
      <c r="K52" s="2702"/>
      <c r="L52" s="2704"/>
      <c r="M52" s="2705" t="s">
        <v>22</v>
      </c>
      <c r="N52" s="2706"/>
      <c r="O52" s="2706"/>
      <c r="P52" s="2706"/>
      <c r="Q52" s="2707"/>
      <c r="R52" s="103">
        <f>R50-R51</f>
        <v>0</v>
      </c>
      <c r="S52" s="102" t="str">
        <f>L50</f>
        <v>Ud</v>
      </c>
      <c r="T52" s="101"/>
      <c r="U52" s="100"/>
    </row>
  </sheetData>
  <mergeCells count="33">
    <mergeCell ref="D50:I50"/>
    <mergeCell ref="J50:K50"/>
    <mergeCell ref="M50:Q50"/>
    <mergeCell ref="N12:N13"/>
    <mergeCell ref="O12:O13"/>
    <mergeCell ref="Q12:Q13"/>
    <mergeCell ref="L12:L13"/>
    <mergeCell ref="D51:I52"/>
    <mergeCell ref="J51:K52"/>
    <mergeCell ref="L51:L52"/>
    <mergeCell ref="M51:Q51"/>
    <mergeCell ref="M52:Q52"/>
    <mergeCell ref="V5:AA5"/>
    <mergeCell ref="B6:I6"/>
    <mergeCell ref="T8:U8"/>
    <mergeCell ref="B12:B13"/>
    <mergeCell ref="C12:C13"/>
    <mergeCell ref="D12:I12"/>
    <mergeCell ref="J12:J13"/>
    <mergeCell ref="K12:K13"/>
    <mergeCell ref="U12:U13"/>
    <mergeCell ref="R12:R13"/>
    <mergeCell ref="S12:S13"/>
    <mergeCell ref="D13:F13"/>
    <mergeCell ref="P12:P13"/>
    <mergeCell ref="C11:L11"/>
    <mergeCell ref="T12:T13"/>
    <mergeCell ref="K6:U6"/>
    <mergeCell ref="T9:U9"/>
    <mergeCell ref="M12:M13"/>
    <mergeCell ref="T10:U10"/>
    <mergeCell ref="G13:I13"/>
    <mergeCell ref="B1:U5"/>
  </mergeCells>
  <conditionalFormatting sqref="J51:K52">
    <cfRule type="cellIs" dxfId="1" priority="1" operator="greaterThanOrEqual">
      <formula>1</formula>
    </cfRule>
    <cfRule type="cellIs" dxfId="0" priority="2" operator="greaterThan">
      <formula>100%</formula>
    </cfRule>
  </conditionalFormatting>
  <printOptions horizontalCentered="1"/>
  <pageMargins left="0.39370078740157483" right="0.39370078740157483" top="0.78740157480314965" bottom="0.78740157480314965" header="0" footer="0.19685039370078741"/>
  <pageSetup paperSize="9" scale="44" fitToHeight="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2060"/>
    <pageSetUpPr fitToPage="1"/>
  </sheetPr>
  <dimension ref="A1:GB5064"/>
  <sheetViews>
    <sheetView showGridLines="0" view="pageBreakPreview" topLeftCell="A69" zoomScaleNormal="100" zoomScaleSheetLayoutView="100" workbookViewId="0">
      <selection activeCell="K30" sqref="K30"/>
    </sheetView>
  </sheetViews>
  <sheetFormatPr defaultColWidth="9.140625" defaultRowHeight="16.5"/>
  <cols>
    <col min="1" max="1" width="9.140625" style="381"/>
    <col min="2" max="2" width="14.140625" style="376" customWidth="1"/>
    <col min="3" max="3" width="83" style="373" customWidth="1"/>
    <col min="4" max="4" width="10.140625" style="376" bestFit="1" customWidth="1"/>
    <col min="5" max="5" width="5.28515625" style="376" customWidth="1"/>
    <col min="6" max="6" width="9.140625" style="391"/>
    <col min="7" max="7" width="9.28515625" style="396" bestFit="1" customWidth="1"/>
    <col min="8" max="8" width="9.140625" style="396"/>
    <col min="9" max="9" width="9.140625" style="373"/>
    <col min="10" max="10" width="13.85546875" style="373" customWidth="1"/>
    <col min="11" max="11" width="80.7109375" style="373" bestFit="1" customWidth="1"/>
    <col min="12" max="17" width="9.140625" style="373"/>
    <col min="18" max="18" width="24.42578125" style="373" bestFit="1" customWidth="1"/>
    <col min="19" max="16384" width="9.140625" style="373"/>
  </cols>
  <sheetData>
    <row r="1" spans="1:184" s="371" customFormat="1" ht="15.75">
      <c r="A1" s="380"/>
      <c r="B1" s="1828"/>
      <c r="C1" s="106"/>
      <c r="D1" s="1840"/>
      <c r="E1" s="1841"/>
      <c r="F1" s="390"/>
      <c r="G1" s="394"/>
      <c r="H1" s="394"/>
    </row>
    <row r="2" spans="1:184" s="371" customFormat="1" ht="15.75">
      <c r="A2" s="380"/>
      <c r="B2" s="1828"/>
      <c r="C2" s="2385" t="s">
        <v>375</v>
      </c>
      <c r="D2" s="1842"/>
      <c r="E2" s="1841"/>
      <c r="F2" s="390"/>
      <c r="G2" s="394"/>
      <c r="H2" s="394"/>
    </row>
    <row r="3" spans="1:184" s="371" customFormat="1" ht="15.75">
      <c r="A3" s="380"/>
      <c r="B3" s="1828"/>
      <c r="C3" s="2385"/>
      <c r="D3" s="1842"/>
      <c r="E3" s="1841"/>
      <c r="F3" s="390"/>
      <c r="G3" s="394"/>
      <c r="H3" s="394"/>
    </row>
    <row r="4" spans="1:184" s="371" customFormat="1" ht="15.75">
      <c r="A4" s="380"/>
      <c r="B4" s="1828"/>
      <c r="C4" s="2385"/>
      <c r="D4" s="1842"/>
      <c r="E4" s="1841"/>
      <c r="F4" s="390"/>
      <c r="G4" s="394"/>
      <c r="H4" s="394"/>
    </row>
    <row r="5" spans="1:184" s="371" customFormat="1" ht="10.5" customHeight="1">
      <c r="A5" s="380"/>
      <c r="B5" s="1828"/>
      <c r="C5" s="2385"/>
      <c r="D5" s="1842"/>
      <c r="E5" s="1841"/>
      <c r="F5" s="390"/>
      <c r="G5" s="395"/>
      <c r="H5" s="395"/>
    </row>
    <row r="6" spans="1:184" s="371" customFormat="1" ht="10.5" customHeight="1">
      <c r="A6" s="380"/>
      <c r="B6" s="1843"/>
      <c r="C6" s="106"/>
      <c r="D6" s="1842"/>
      <c r="E6" s="1841"/>
      <c r="F6" s="390"/>
      <c r="G6" s="395"/>
      <c r="H6" s="395"/>
    </row>
    <row r="7" spans="1:184" s="371" customFormat="1" ht="15">
      <c r="A7" s="380"/>
      <c r="B7" s="1844" t="s">
        <v>369</v>
      </c>
      <c r="C7" s="1845" t="s">
        <v>644</v>
      </c>
      <c r="D7" s="1845"/>
      <c r="E7" s="1845"/>
      <c r="F7" s="390"/>
      <c r="G7" s="395"/>
      <c r="H7" s="395"/>
    </row>
    <row r="8" spans="1:184" s="371" customFormat="1" ht="15">
      <c r="A8" s="380"/>
      <c r="B8" s="1844" t="s">
        <v>372</v>
      </c>
      <c r="C8" s="1845" t="s">
        <v>776</v>
      </c>
      <c r="D8" s="1845"/>
      <c r="E8" s="1845"/>
      <c r="F8" s="390"/>
      <c r="G8" s="395"/>
      <c r="H8" s="395"/>
    </row>
    <row r="9" spans="1:184" s="371" customFormat="1" ht="15">
      <c r="A9" s="380"/>
      <c r="B9" s="1844" t="s">
        <v>371</v>
      </c>
      <c r="C9" s="1845" t="s">
        <v>580</v>
      </c>
      <c r="D9" s="1845"/>
      <c r="E9" s="1845"/>
      <c r="F9" s="390"/>
      <c r="G9" s="395"/>
      <c r="H9" s="395"/>
    </row>
    <row r="10" spans="1:184" s="371" customFormat="1" ht="15">
      <c r="A10" s="380"/>
      <c r="B10" s="1844" t="s">
        <v>374</v>
      </c>
      <c r="C10" s="1846" t="s">
        <v>643</v>
      </c>
      <c r="D10" s="1845"/>
      <c r="E10" s="1845"/>
      <c r="F10" s="390"/>
      <c r="G10" s="395"/>
      <c r="H10" s="395"/>
    </row>
    <row r="11" spans="1:184" s="371" customFormat="1" ht="15">
      <c r="A11" s="380"/>
      <c r="B11" s="1844" t="s">
        <v>373</v>
      </c>
      <c r="C11" s="1847">
        <f>'00'!AB23</f>
        <v>44784</v>
      </c>
      <c r="D11" s="1845"/>
      <c r="E11" s="1845"/>
      <c r="F11" s="390"/>
      <c r="G11" s="395"/>
      <c r="H11" s="395"/>
    </row>
    <row r="12" spans="1:184" s="371" customFormat="1" ht="12.75">
      <c r="A12" s="403"/>
      <c r="B12" s="1848" t="s">
        <v>882</v>
      </c>
      <c r="C12" s="1845" t="str">
        <f>'12 - FINANCEIRA'!B10</f>
        <v>01/06/2023 a 27/06/2023</v>
      </c>
      <c r="D12" s="1845"/>
      <c r="E12" s="1845"/>
      <c r="F12" s="2386"/>
      <c r="G12" s="2386"/>
      <c r="H12" s="2386"/>
      <c r="I12" s="2386"/>
    </row>
    <row r="13" spans="1:184" s="371" customFormat="1" ht="6" customHeight="1">
      <c r="A13" s="380"/>
      <c r="B13" s="1849"/>
      <c r="C13" s="1850"/>
      <c r="D13" s="1842"/>
      <c r="E13" s="1851"/>
      <c r="F13" s="390"/>
      <c r="G13" s="394"/>
      <c r="H13" s="394"/>
    </row>
    <row r="14" spans="1:184" s="371" customFormat="1" ht="15.75">
      <c r="A14" s="380"/>
      <c r="B14" s="2384" t="s">
        <v>289</v>
      </c>
      <c r="C14" s="2384"/>
      <c r="D14" s="2384"/>
      <c r="E14" s="2384"/>
      <c r="F14" s="390"/>
      <c r="G14" s="394"/>
      <c r="H14" s="394"/>
      <c r="I14" s="372"/>
      <c r="J14" s="402"/>
      <c r="K14" s="372"/>
      <c r="L14" s="372"/>
      <c r="M14" s="372"/>
      <c r="N14" s="372"/>
      <c r="O14" s="372"/>
      <c r="P14" s="372"/>
      <c r="Q14" s="372"/>
      <c r="R14" s="372"/>
      <c r="S14" s="372"/>
      <c r="T14" s="372"/>
      <c r="U14" s="372"/>
      <c r="V14" s="372"/>
      <c r="W14" s="372"/>
      <c r="X14" s="372"/>
      <c r="Y14" s="372"/>
      <c r="Z14" s="372"/>
      <c r="AA14" s="372"/>
      <c r="AB14" s="372"/>
      <c r="AC14" s="372"/>
      <c r="AD14" s="372"/>
      <c r="AE14" s="372"/>
      <c r="AF14" s="372"/>
      <c r="AG14" s="372"/>
      <c r="AH14" s="372"/>
      <c r="AI14" s="372"/>
      <c r="AJ14" s="372"/>
      <c r="AK14" s="372"/>
      <c r="AL14" s="372"/>
      <c r="AM14" s="372"/>
      <c r="AN14" s="372"/>
      <c r="AO14" s="372"/>
      <c r="AP14" s="372"/>
      <c r="AQ14" s="372"/>
      <c r="AR14" s="372"/>
      <c r="AS14" s="372"/>
      <c r="AT14" s="372"/>
      <c r="AU14" s="372"/>
      <c r="AV14" s="372"/>
      <c r="AW14" s="372"/>
      <c r="AX14" s="372"/>
      <c r="AY14" s="372"/>
      <c r="AZ14" s="372"/>
      <c r="BA14" s="372"/>
      <c r="BB14" s="372"/>
      <c r="BC14" s="372"/>
      <c r="BD14" s="372"/>
      <c r="BE14" s="372"/>
      <c r="BF14" s="372"/>
      <c r="BG14" s="372"/>
      <c r="BH14" s="372"/>
      <c r="BI14" s="372"/>
      <c r="BJ14" s="372"/>
      <c r="BK14" s="372"/>
      <c r="BL14" s="372"/>
      <c r="BM14" s="372"/>
      <c r="BN14" s="372"/>
      <c r="BO14" s="372"/>
      <c r="BP14" s="372"/>
      <c r="BQ14" s="372"/>
      <c r="BR14" s="372"/>
      <c r="BS14" s="372"/>
      <c r="BT14" s="372"/>
      <c r="BU14" s="372"/>
      <c r="BV14" s="372"/>
      <c r="BW14" s="372"/>
      <c r="BX14" s="372"/>
      <c r="BY14" s="372"/>
      <c r="BZ14" s="372"/>
      <c r="CA14" s="372"/>
      <c r="CB14" s="372"/>
      <c r="CC14" s="372"/>
      <c r="CD14" s="372"/>
      <c r="CE14" s="372"/>
      <c r="CF14" s="372"/>
      <c r="CG14" s="372"/>
      <c r="CH14" s="372"/>
      <c r="CI14" s="372"/>
      <c r="CJ14" s="372"/>
      <c r="CK14" s="372"/>
      <c r="CL14" s="372"/>
      <c r="CM14" s="372"/>
      <c r="CN14" s="372"/>
      <c r="CO14" s="372"/>
      <c r="CP14" s="372"/>
      <c r="CQ14" s="372"/>
      <c r="CR14" s="372"/>
      <c r="CS14" s="372"/>
      <c r="CT14" s="372"/>
      <c r="CU14" s="372"/>
      <c r="CV14" s="372"/>
      <c r="CW14" s="372"/>
      <c r="CX14" s="372"/>
      <c r="CY14" s="372"/>
      <c r="CZ14" s="372"/>
      <c r="DA14" s="372"/>
      <c r="DB14" s="372"/>
      <c r="DC14" s="372"/>
      <c r="DD14" s="372"/>
      <c r="DE14" s="372"/>
      <c r="DF14" s="372"/>
      <c r="DG14" s="372"/>
      <c r="DH14" s="372"/>
      <c r="DI14" s="372"/>
      <c r="DJ14" s="372"/>
      <c r="DK14" s="372"/>
      <c r="DL14" s="372"/>
      <c r="DM14" s="372"/>
      <c r="DN14" s="372"/>
      <c r="DO14" s="372"/>
      <c r="DP14" s="372"/>
      <c r="DQ14" s="372"/>
      <c r="DR14" s="372"/>
      <c r="DS14" s="372"/>
      <c r="DT14" s="372"/>
      <c r="DU14" s="372"/>
      <c r="DV14" s="372"/>
      <c r="DW14" s="372"/>
      <c r="DX14" s="372"/>
      <c r="DY14" s="372"/>
      <c r="DZ14" s="372"/>
      <c r="EA14" s="372"/>
      <c r="EB14" s="372"/>
      <c r="EC14" s="372"/>
      <c r="ED14" s="372"/>
      <c r="EE14" s="372"/>
      <c r="EF14" s="372"/>
      <c r="EG14" s="372"/>
      <c r="EH14" s="372"/>
      <c r="EI14" s="372"/>
      <c r="EJ14" s="372"/>
      <c r="EK14" s="372"/>
      <c r="EL14" s="372"/>
      <c r="EM14" s="372"/>
      <c r="EN14" s="372"/>
      <c r="EO14" s="372"/>
      <c r="EP14" s="372"/>
      <c r="EQ14" s="372"/>
      <c r="ER14" s="372"/>
      <c r="ES14" s="372"/>
      <c r="ET14" s="372"/>
      <c r="EU14" s="372"/>
      <c r="EV14" s="372"/>
      <c r="EW14" s="372"/>
      <c r="EX14" s="372"/>
      <c r="EY14" s="372"/>
      <c r="EZ14" s="372"/>
      <c r="FA14" s="372"/>
      <c r="FB14" s="372"/>
      <c r="FC14" s="372"/>
      <c r="FD14" s="372"/>
      <c r="FE14" s="372"/>
      <c r="FF14" s="372"/>
      <c r="FG14" s="372"/>
      <c r="FH14" s="372"/>
      <c r="FI14" s="372"/>
      <c r="FJ14" s="372"/>
      <c r="FK14" s="372"/>
      <c r="FL14" s="372"/>
      <c r="FM14" s="372"/>
      <c r="FN14" s="372"/>
      <c r="FO14" s="372"/>
      <c r="FP14" s="372"/>
      <c r="FQ14" s="372"/>
      <c r="FR14" s="372"/>
      <c r="FS14" s="372"/>
      <c r="FT14" s="372"/>
      <c r="FU14" s="372"/>
      <c r="FV14" s="372"/>
      <c r="FW14" s="372"/>
      <c r="FX14" s="372"/>
      <c r="FY14" s="372"/>
      <c r="FZ14" s="372"/>
      <c r="GA14" s="372"/>
      <c r="GB14" s="372"/>
    </row>
    <row r="15" spans="1:184" ht="16.5" customHeight="1">
      <c r="A15" s="553">
        <v>1</v>
      </c>
      <c r="B15" s="1852" t="str">
        <f>'12 - FINANCEIRA'!A15</f>
        <v>1</v>
      </c>
      <c r="C15" s="783" t="str">
        <f>'12 - FINANCEIRA'!B15</f>
        <v>ADMINISTRAÇÃO E CANTEIRO</v>
      </c>
      <c r="D15" s="1853"/>
      <c r="E15" s="1853"/>
      <c r="H15" s="396">
        <f>SUM(H16:H29)</f>
        <v>6</v>
      </c>
    </row>
    <row r="16" spans="1:184" s="374" customFormat="1">
      <c r="A16" s="406" t="s">
        <v>381</v>
      </c>
      <c r="B16" s="1856" t="str">
        <f>VLOOKUP(A16,'12 - FINANCEIRA'!_xlnm.Print_Area,1,0)</f>
        <v>1.1</v>
      </c>
      <c r="C16" s="589" t="str">
        <f>VLOOKUP(A16,'12 - FINANCEIRA'!_xlnm.Print_Area,2,0)</f>
        <v>IMPLANTAÇÃO DO CANTEIRO DE OBRAS</v>
      </c>
      <c r="D16" s="1865"/>
      <c r="E16" s="1866"/>
      <c r="F16" s="392"/>
      <c r="G16" s="396"/>
      <c r="H16" s="396">
        <f>SUM(H17:H23)</f>
        <v>2</v>
      </c>
    </row>
    <row r="17" spans="1:8" ht="38.25" hidden="1">
      <c r="A17" s="381" t="s">
        <v>376</v>
      </c>
      <c r="B17" s="1836" t="str">
        <f>VLOOKUP($A17,'12 - FINANCEIRA'!_xlnm.Print_Area,2,0)</f>
        <v>S020712</v>
      </c>
      <c r="C17" s="1837" t="str">
        <f>VLOOKUP($A17,'12 - FINANCEIRA'!_xlnm.Print_Area,3,0)</f>
        <v>Rede de água com padrão de entrada d'água diâm. 3/4", conf. espec. CESAN, incl. tubos e conexões para alimentação, distribuição, extravasor e limpeza, cons. o padrão a 25m, conf. projeto (1 utilização)</v>
      </c>
      <c r="D17" s="1838">
        <f>VLOOKUP($A17,'12 - FINANCEIRA'!_xlnm.Print_Area,10,0)</f>
        <v>0</v>
      </c>
      <c r="E17" s="1839" t="str">
        <f>VLOOKUP($A17,'12 - FINANCEIRA'!_xlnm.Print_Area,4,0)</f>
        <v>m</v>
      </c>
      <c r="G17" s="396" t="str">
        <f>IF(D17&gt;0,"POSITIVO",IF(D17=0,"NULO",IF(D17&lt;0,"NEGATIVO")))</f>
        <v>NULO</v>
      </c>
      <c r="H17" s="396">
        <f t="shared" ref="H17:H23" si="0">IF(G17="NULO",0,1)</f>
        <v>0</v>
      </c>
    </row>
    <row r="18" spans="1:8" ht="25.5" hidden="1">
      <c r="A18" s="381" t="s">
        <v>377</v>
      </c>
      <c r="B18" s="585" t="str">
        <f>VLOOKUP($A18,'12 - FINANCEIRA'!_xlnm.Print_Area,2,0)</f>
        <v>S020714</v>
      </c>
      <c r="C18" s="586" t="str">
        <f>VLOOKUP($A18,'12 - FINANCEIRA'!_xlnm.Print_Area,3,0)</f>
        <v>Rede de esgoto, contendo fossa e filtro, inclusive tubos e conexões de ligação entre caixas, considerando distância de 25m, conforme projeto (1 utilização)</v>
      </c>
      <c r="D18" s="587">
        <f>VLOOKUP($A18,'12 - FINANCEIRA'!_xlnm.Print_Area,10,0)</f>
        <v>0</v>
      </c>
      <c r="E18" s="588" t="str">
        <f>VLOOKUP($A18,'12 - FINANCEIRA'!_xlnm.Print_Area,4,0)</f>
        <v>m</v>
      </c>
      <c r="G18" s="396" t="str">
        <f t="shared" ref="G18:G23" si="1">IF(D18&gt;0,"POSITIVO",IF(D18=0,"NULO",IF(D18&lt;0,"NEGATIVO")))</f>
        <v>NULO</v>
      </c>
      <c r="H18" s="396">
        <f t="shared" si="0"/>
        <v>0</v>
      </c>
    </row>
    <row r="19" spans="1:8" ht="38.25" hidden="1">
      <c r="A19" s="381" t="s">
        <v>414</v>
      </c>
      <c r="B19" s="585" t="str">
        <f>VLOOKUP($A19,'12 - FINANCEIRA'!_xlnm.Print_Area,2,0)</f>
        <v>S020713</v>
      </c>
      <c r="C19" s="586" t="str">
        <f>VLOOKUP($A19,'12 - FINANCEIRA'!_xlnm.Print_Area,3,0)</f>
        <v>Rede de luz, incl. padrão entrada de energia trifás., cabo de ligação até barracões, quadro de distrib., disj. e chave de força (quando necessário), cons. 20m entre padrão entrada e QDG, conf. projeto (1 utilização)</v>
      </c>
      <c r="D19" s="587">
        <f>VLOOKUP($A19,'12 - FINANCEIRA'!_xlnm.Print_Area,10,0)</f>
        <v>0</v>
      </c>
      <c r="E19" s="588" t="str">
        <f>VLOOKUP($A19,'12 - FINANCEIRA'!_xlnm.Print_Area,4,0)</f>
        <v>m</v>
      </c>
      <c r="G19" s="396" t="str">
        <f t="shared" si="1"/>
        <v>NULO</v>
      </c>
      <c r="H19" s="396">
        <f t="shared" si="0"/>
        <v>0</v>
      </c>
    </row>
    <row r="20" spans="1:8" ht="25.5" hidden="1">
      <c r="A20" s="381" t="s">
        <v>415</v>
      </c>
      <c r="B20" s="703" t="str">
        <f>VLOOKUP($A20,'12 - FINANCEIRA'!_xlnm.Print_Area,2,0)</f>
        <v>S020711</v>
      </c>
      <c r="C20" s="704" t="str">
        <f>VLOOKUP($A20,'12 - FINANCEIRA'!_xlnm.Print_Area,3,0)</f>
        <v>Reservatório de poliestileno de 1000 L, incl. suporte em madeira de 7x12cm e 8x7cm, elevado de 4m, conf. projeto (1 utilização)</v>
      </c>
      <c r="D20" s="705">
        <f>VLOOKUP($A20,'12 - FINANCEIRA'!_xlnm.Print_Area,10,0)</f>
        <v>0</v>
      </c>
      <c r="E20" s="706" t="str">
        <f>VLOOKUP($A20,'12 - FINANCEIRA'!_xlnm.Print_Area,4,0)</f>
        <v>und</v>
      </c>
      <c r="G20" s="396" t="str">
        <f t="shared" si="1"/>
        <v>NULO</v>
      </c>
      <c r="H20" s="396">
        <f t="shared" si="0"/>
        <v>0</v>
      </c>
    </row>
    <row r="21" spans="1:8" ht="38.25" hidden="1">
      <c r="A21" s="381" t="s">
        <v>416</v>
      </c>
      <c r="B21" s="703" t="str">
        <f>VLOOKUP($A21,'12 - FINANCEIRA'!_xlnm.Print_Area,2,0)</f>
        <v>S020350</v>
      </c>
      <c r="C21" s="704" t="str">
        <f>VLOOKUP($A21,'12 - FINANCEIRA'!_xlnm.Print_Area,3,0)</f>
        <v>Tapume Telha Metálica Ondulada 0,50mm Branca h=2,20m, incl. montagem estr. mad. 8"x8", c/adesivo "SEDURB" 60x60cm a cada 10m, incl. faixas pint. esmalte sint. cores azul c/ h=30cm e rosa c/ h=10cm (Reaproveitamento 2x)</v>
      </c>
      <c r="D21" s="705">
        <f>VLOOKUP($A21,'12 - FINANCEIRA'!_xlnm.Print_Area,10,0)</f>
        <v>0</v>
      </c>
      <c r="E21" s="706" t="str">
        <f>VLOOKUP($A21,'12 - FINANCEIRA'!_xlnm.Print_Area,4,0)</f>
        <v>m</v>
      </c>
      <c r="G21" s="396" t="str">
        <f t="shared" si="1"/>
        <v>NULO</v>
      </c>
      <c r="H21" s="396">
        <f t="shared" si="0"/>
        <v>0</v>
      </c>
    </row>
    <row r="22" spans="1:8">
      <c r="A22" s="381" t="s">
        <v>423</v>
      </c>
      <c r="B22" s="1854" t="str">
        <f>VLOOKUP($A22,'12 - FINANCEIRA'!_xlnm.Print_Area,2,0)</f>
        <v>S020305</v>
      </c>
      <c r="C22" s="1837" t="str">
        <f>VLOOKUP($A22,'12 - FINANCEIRA'!_xlnm.Print_Area,3,0)</f>
        <v>Placa de obra nas dimensões de 2.0 x 4.0 m, padrão IOPES</v>
      </c>
      <c r="D22" s="1838">
        <f>VLOOKUP($A22,'12 - FINANCEIRA'!_xlnm.Print_Area,10,0)</f>
        <v>0.96000000000000085</v>
      </c>
      <c r="E22" s="1854" t="str">
        <f>VLOOKUP($A22,'12 - FINANCEIRA'!_xlnm.Print_Area,4,0)</f>
        <v>m²</v>
      </c>
      <c r="G22" s="396" t="str">
        <f t="shared" si="1"/>
        <v>POSITIVO</v>
      </c>
      <c r="H22" s="396">
        <f t="shared" si="0"/>
        <v>1</v>
      </c>
    </row>
    <row r="23" spans="1:8" ht="25.5">
      <c r="A23" s="381" t="s">
        <v>424</v>
      </c>
      <c r="B23" s="1855" t="str">
        <f>VLOOKUP($A23,'12 - FINANCEIRA'!_xlnm.Print_Area,2,0)</f>
        <v>S200576</v>
      </c>
      <c r="C23" s="704" t="str">
        <f>VLOOKUP($A23,'12 - FINANCEIRA'!_xlnm.Print_Area,3,0)</f>
        <v>Placa para inauguração de obra em alumínio polido e=4mm, dimensões 40 x 50 cm, gravação em baixo relevo, inclusive pintura e fixação</v>
      </c>
      <c r="D23" s="705">
        <f>VLOOKUP($A23,'12 - FINANCEIRA'!_xlnm.Print_Area,10,0)</f>
        <v>1</v>
      </c>
      <c r="E23" s="1855" t="str">
        <f>VLOOKUP($A23,'12 - FINANCEIRA'!_xlnm.Print_Area,4,0)</f>
        <v>und</v>
      </c>
      <c r="G23" s="396" t="str">
        <f t="shared" si="1"/>
        <v>POSITIVO</v>
      </c>
      <c r="H23" s="396">
        <f t="shared" si="0"/>
        <v>1</v>
      </c>
    </row>
    <row r="24" spans="1:8" s="375" customFormat="1">
      <c r="A24" s="407" t="s">
        <v>378</v>
      </c>
      <c r="B24" s="1856" t="str">
        <f>VLOOKUP(A24,'12 - FINANCEIRA'!_xlnm.Print_Area,1,0)</f>
        <v>1.2</v>
      </c>
      <c r="C24" s="589" t="str">
        <f>VLOOKUP(A24,'12 - FINANCEIRA'!_xlnm.Print_Area,2,0)</f>
        <v>CANTEIRO DE OBRAS</v>
      </c>
      <c r="D24" s="590"/>
      <c r="E24" s="1856"/>
      <c r="F24" s="393"/>
      <c r="G24" s="396"/>
      <c r="H24" s="396">
        <f>SUM(H25:H29)</f>
        <v>1</v>
      </c>
    </row>
    <row r="25" spans="1:8">
      <c r="A25" s="381" t="s">
        <v>379</v>
      </c>
      <c r="B25" s="1855" t="str">
        <f>VLOOKUP($A25,'12 - FINANCEIRA'!_xlnm.Print_Area,2,0)</f>
        <v>S020344</v>
      </c>
      <c r="C25" s="704" t="str">
        <f>VLOOKUP($A25,'12 - FINANCEIRA'!_xlnm.Print_Area,3,0)</f>
        <v xml:space="preserve">Mobilização e desmobilização de conteiner locado </v>
      </c>
      <c r="D25" s="705">
        <f>VLOOKUP($A25,'12 - FINANCEIRA'!_xlnm.Print_Area,10,0)</f>
        <v>2</v>
      </c>
      <c r="E25" s="1855" t="str">
        <f>VLOOKUP($A25,'12 - FINANCEIRA'!_xlnm.Print_Area,4,0)</f>
        <v>und</v>
      </c>
      <c r="G25" s="396" t="str">
        <f t="shared" ref="G25:G29" si="2">IF(D25&gt;0,"POSITIVO",IF(D25=0,"NULO",IF(D25&lt;0,"NEGATIVO")))</f>
        <v>POSITIVO</v>
      </c>
      <c r="H25" s="396">
        <f t="shared" ref="H25:H29" si="3">IF(G25="NULO",0,1)</f>
        <v>1</v>
      </c>
    </row>
    <row r="26" spans="1:8" ht="38.25" hidden="1">
      <c r="A26" s="381" t="s">
        <v>417</v>
      </c>
      <c r="B26" s="1836" t="str">
        <f>VLOOKUP($A26,'12 - FINANCEIRA'!_xlnm.Print_Area,2,0)</f>
        <v>S020353</v>
      </c>
      <c r="C26" s="1837" t="str">
        <f>VLOOKUP($A26,'12 - FINANCEIRA'!_xlnm.Print_Area,3,0)</f>
        <v>Aluguel mensal container para refeitorio, incl. porta, 2 janelas, abert p/ ar cond., 2 pt iluminação, 2 tomadas elét. e 1 tomada telef. Isolamento térmico (paredes e teto), piso em comp. Naval pintado, cert. NR18, incl. laundo descontaminação.</v>
      </c>
      <c r="D26" s="1838">
        <f>VLOOKUP($A26,'12 - FINANCEIRA'!_xlnm.Print_Area,10,0)</f>
        <v>0</v>
      </c>
      <c r="E26" s="1839" t="str">
        <f>VLOOKUP($A26,'12 - FINANCEIRA'!_xlnm.Print_Area,4,0)</f>
        <v>mês</v>
      </c>
      <c r="G26" s="396" t="str">
        <f t="shared" si="2"/>
        <v>NULO</v>
      </c>
      <c r="H26" s="396">
        <f t="shared" si="3"/>
        <v>0</v>
      </c>
    </row>
    <row r="27" spans="1:8" ht="36.75" hidden="1" customHeight="1">
      <c r="A27" s="381" t="s">
        <v>431</v>
      </c>
      <c r="B27" s="703" t="str">
        <f>VLOOKUP($A27,'12 - FINANCEIRA'!_xlnm.Print_Area,2,0)</f>
        <v>S020355</v>
      </c>
      <c r="C27" s="704" t="str">
        <f>VLOOKUP($A27,'12 - FINANCEIRA'!_xlnm.Print_Area,3,0)</f>
        <v>Aluguel mensal container sanitário, incl porta, básc, 2 ptos luz, 1 pto aterram., 3vasos, 3lavatórios, calha mictório, 6 chuveiros (1 eletrico), torn.,registros, piso comp. Naval pintado, cert NR18 e laudo descontaminação</v>
      </c>
      <c r="D27" s="705">
        <f>VLOOKUP($A27,'12 - FINANCEIRA'!_xlnm.Print_Area,10,0)</f>
        <v>0</v>
      </c>
      <c r="E27" s="706" t="str">
        <f>VLOOKUP($A27,'12 - FINANCEIRA'!_xlnm.Print_Area,4,0)</f>
        <v>mês</v>
      </c>
      <c r="G27" s="396" t="str">
        <f t="shared" si="2"/>
        <v>NULO</v>
      </c>
      <c r="H27" s="396">
        <f t="shared" si="3"/>
        <v>0</v>
      </c>
    </row>
    <row r="28" spans="1:8" ht="41.25" hidden="1" customHeight="1">
      <c r="A28" s="381" t="s">
        <v>432</v>
      </c>
      <c r="B28" s="775" t="str">
        <f>VLOOKUP($A28,'12 - FINANCEIRA'!_xlnm.Print_Area,2,0)</f>
        <v>S020352</v>
      </c>
      <c r="C28" s="776" t="str">
        <f>VLOOKUP($A28,'12 - FINANCEIRA'!_xlnm.Print_Area,3,0)</f>
        <v>Aluguel mensal container para escritório, dim. 6.00x2.40m, c/ banheiro (vaso+lavat+chuveiro e básc), incl. porta, 2 janelas, abert p/ ar cond., 2 pt iluminação, 2 tom. elét. e 1 tom.telef. Isolam.térmico(teto e paredes), piso em comp. Naval, cert. NR18, incl. laudo descontaminação.</v>
      </c>
      <c r="D28" s="777">
        <f>VLOOKUP($A28,'12 - FINANCEIRA'!_xlnm.Print_Area,10,0)</f>
        <v>0</v>
      </c>
      <c r="E28" s="778" t="str">
        <f>VLOOKUP($A28,'12 - FINANCEIRA'!_xlnm.Print_Area,4,0)</f>
        <v>mês</v>
      </c>
      <c r="G28" s="396" t="str">
        <f t="shared" si="2"/>
        <v>NULO</v>
      </c>
      <c r="H28" s="396">
        <f t="shared" si="3"/>
        <v>0</v>
      </c>
    </row>
    <row r="29" spans="1:8" ht="32.25" hidden="1" customHeight="1">
      <c r="A29" s="381" t="s">
        <v>433</v>
      </c>
      <c r="B29" s="703" t="str">
        <f>VLOOKUP($A29,'12 - FINANCEIRA'!_xlnm.Print_Area,2,0)</f>
        <v>S020356</v>
      </c>
      <c r="C29" s="704" t="str">
        <f>VLOOKUP($A29,'12 - FINANCEIRA'!_xlnm.Print_Area,3,0)</f>
        <v>Aluguel mensal container para almoxarifado, incl. porta, 2 janelas, 1 pt iluminação, Isolamento térmico (teto), piso em comp. Naval pintado, cert. NR18, incl. laudo descontaminação.</v>
      </c>
      <c r="D29" s="705">
        <f>VLOOKUP($A29,'12 - FINANCEIRA'!_xlnm.Print_Area,10,0)</f>
        <v>0</v>
      </c>
      <c r="E29" s="706" t="str">
        <f>VLOOKUP($A29,'12 - FINANCEIRA'!_xlnm.Print_Area,4,0)</f>
        <v>mês</v>
      </c>
      <c r="G29" s="396" t="str">
        <f t="shared" si="2"/>
        <v>NULO</v>
      </c>
      <c r="H29" s="396">
        <f t="shared" si="3"/>
        <v>0</v>
      </c>
    </row>
    <row r="30" spans="1:8" s="374" customFormat="1">
      <c r="A30" s="553">
        <v>2</v>
      </c>
      <c r="B30" s="1852">
        <f>VLOOKUP(A30,'12 - FINANCEIRA'!_xlnm.Print_Area,1,0)</f>
        <v>2</v>
      </c>
      <c r="C30" s="783" t="str">
        <f>VLOOKUP(A30,'12 - FINANCEIRA'!_xlnm.Print_Area,2,0)</f>
        <v>GALERIA GUARANHUNS 1 E 2</v>
      </c>
      <c r="D30" s="784"/>
      <c r="E30" s="1852"/>
      <c r="F30" s="392"/>
      <c r="G30" s="396"/>
      <c r="H30" s="396">
        <f>SUM(H31:H70)</f>
        <v>38</v>
      </c>
    </row>
    <row r="31" spans="1:8" s="375" customFormat="1">
      <c r="A31" s="407" t="s">
        <v>380</v>
      </c>
      <c r="B31" s="1856" t="str">
        <f>VLOOKUP(A31,'12 - FINANCEIRA'!_xlnm.Print_Area,1,0)</f>
        <v>2.1</v>
      </c>
      <c r="C31" s="589" t="str">
        <f>VLOOKUP(A31,'12 - FINANCEIRA'!_xlnm.Print_Area,2,0)</f>
        <v>TERRAPLANAGEM E PAVIMENTAÇÃO</v>
      </c>
      <c r="D31" s="590"/>
      <c r="E31" s="1856"/>
      <c r="F31" s="393"/>
      <c r="G31" s="396"/>
      <c r="H31" s="396">
        <f>SUM(H32:H43)</f>
        <v>7</v>
      </c>
    </row>
    <row r="32" spans="1:8" ht="15" customHeight="1">
      <c r="A32" s="381" t="s">
        <v>452</v>
      </c>
      <c r="B32" s="1857" t="str">
        <f>VLOOKUP($A32,'12 - FINANCEIRA'!_xlnm.Print_Area,2,0)</f>
        <v>4805757</v>
      </c>
      <c r="C32" s="586" t="str">
        <f>VLOOKUP($A32,'12 - FINANCEIRA'!_xlnm.Print_Area,3,0)</f>
        <v>Escavação mecânica de vala em material de 1ª categoria</v>
      </c>
      <c r="D32" s="587">
        <f>VLOOKUP($A32,'12 - FINANCEIRA'!_xlnm.Print_Area,10,0)</f>
        <v>1780.442</v>
      </c>
      <c r="E32" s="1857" t="str">
        <f>VLOOKUP($A32,'12 - FINANCEIRA'!_xlnm.Print_Area,4,0)</f>
        <v>m³</v>
      </c>
      <c r="G32" s="396" t="str">
        <f>IF(D32&gt;0,"POSITIVO",IF(D32=0,"NULO",IF(D32&lt;0,"NEGATIVO")))</f>
        <v>POSITIVO</v>
      </c>
      <c r="H32" s="396">
        <f>IF(G32="NULO",0,1)</f>
        <v>1</v>
      </c>
    </row>
    <row r="33" spans="1:8">
      <c r="A33" s="381" t="s">
        <v>453</v>
      </c>
      <c r="B33" s="1857" t="str">
        <f>VLOOKUP($A33,'12 - FINANCEIRA'!_xlnm.Print_Area,2,0)</f>
        <v>S030209</v>
      </c>
      <c r="C33" s="586" t="str">
        <f>VLOOKUP($A33,'12 - FINANCEIRA'!_xlnm.Print_Area,3,0)</f>
        <v>Aterro com areia, inclusive fornecimento e adensamento</v>
      </c>
      <c r="D33" s="587">
        <f>VLOOKUP($A33,'12 - FINANCEIRA'!_xlnm.Print_Area,10,0)</f>
        <v>1065.2430000000004</v>
      </c>
      <c r="E33" s="1857" t="str">
        <f>VLOOKUP($A33,'12 - FINANCEIRA'!_xlnm.Print_Area,4,0)</f>
        <v>m³</v>
      </c>
      <c r="G33" s="396" t="str">
        <f t="shared" ref="G33:G38" si="4">IF(D33&gt;0,"POSITIVO",IF(D33=0,"NULO",IF(D33&lt;0,"NEGATIVO")))</f>
        <v>POSITIVO</v>
      </c>
      <c r="H33" s="396">
        <f t="shared" ref="H33:H38" si="5">IF(G33="NULO",0,1)</f>
        <v>1</v>
      </c>
    </row>
    <row r="34" spans="1:8">
      <c r="A34" s="381" t="s">
        <v>454</v>
      </c>
      <c r="B34" s="1855" t="str">
        <f>VLOOKUP($A34,'12 - FINANCEIRA'!_xlnm.Print_Area,2,0)</f>
        <v>42045</v>
      </c>
      <c r="C34" s="704" t="str">
        <f>VLOOKUP($A34,'12 - FINANCEIRA'!_xlnm.Print_Area,3,0)</f>
        <v>Aquisição de solo de jazida comercial (saibreira)</v>
      </c>
      <c r="D34" s="705">
        <f>VLOOKUP($A34,'12 - FINANCEIRA'!_xlnm.Print_Area,10,0)</f>
        <v>1485.29</v>
      </c>
      <c r="E34" s="1855" t="str">
        <f>VLOOKUP($A34,'12 - FINANCEIRA'!_xlnm.Print_Area,4,0)</f>
        <v>m³</v>
      </c>
      <c r="G34" s="396" t="str">
        <f t="shared" si="4"/>
        <v>POSITIVO</v>
      </c>
      <c r="H34" s="396">
        <f t="shared" si="5"/>
        <v>1</v>
      </c>
    </row>
    <row r="35" spans="1:8" ht="25.5">
      <c r="A35" s="381" t="s">
        <v>455</v>
      </c>
      <c r="B35" s="1857" t="str">
        <f>VLOOKUP($A35,'12 - FINANCEIRA'!_xlnm.Print_Area,2,0)</f>
        <v>60024</v>
      </c>
      <c r="C35" s="586" t="str">
        <f>VLOOKUP($A35,'12 - FINANCEIRA'!_xlnm.Print_Area,3,0)</f>
        <v>Transporte de materiais para DMT acima de 15 KM (Caminhão basculante) - solo de jazida comercial (saibreira)</v>
      </c>
      <c r="D35" s="587">
        <f>VLOOKUP($A35,'12 - FINANCEIRA'!_xlnm.Print_Area,10,0)</f>
        <v>2525.7600000000002</v>
      </c>
      <c r="E35" s="1857" t="str">
        <f>VLOOKUP($A35,'12 - FINANCEIRA'!_xlnm.Print_Area,4,0)</f>
        <v>t</v>
      </c>
      <c r="G35" s="396" t="str">
        <f t="shared" si="4"/>
        <v>POSITIVO</v>
      </c>
      <c r="H35" s="396">
        <f t="shared" si="5"/>
        <v>1</v>
      </c>
    </row>
    <row r="36" spans="1:8" hidden="1">
      <c r="A36" s="381" t="s">
        <v>456</v>
      </c>
      <c r="B36" s="735" t="str">
        <f>VLOOKUP($A36,'12 - FINANCEIRA'!_xlnm.Print_Area,2,0)</f>
        <v>5503041</v>
      </c>
      <c r="C36" s="1834" t="str">
        <f>VLOOKUP($A36,'12 - FINANCEIRA'!_xlnm.Print_Area,3,0)</f>
        <v>Compactação de aterros a 100% do Proctor intermediário</v>
      </c>
      <c r="D36" s="1835">
        <f>VLOOKUP($A36,'12 - FINANCEIRA'!_xlnm.Print_Area,10,0)</f>
        <v>0</v>
      </c>
      <c r="E36" s="736" t="str">
        <f>VLOOKUP($A36,'12 - FINANCEIRA'!_xlnm.Print_Area,4,0)</f>
        <v>m³</v>
      </c>
      <c r="G36" s="396" t="str">
        <f t="shared" si="4"/>
        <v>NULO</v>
      </c>
      <c r="H36" s="396">
        <f t="shared" si="5"/>
        <v>0</v>
      </c>
    </row>
    <row r="37" spans="1:8">
      <c r="A37" s="381" t="s">
        <v>457</v>
      </c>
      <c r="B37" s="1857" t="str">
        <f>VLOOKUP($A37,'12 - FINANCEIRA'!_xlnm.Print_Area,2,0)</f>
        <v>4011549</v>
      </c>
      <c r="C37" s="586" t="str">
        <f>VLOOKUP($A37,'12 - FINANCEIRA'!_xlnm.Print_Area,3,0)</f>
        <v>Base ou sub-base de brita graduada executada com vibroacabadora - brita comercial</v>
      </c>
      <c r="D37" s="587">
        <f>VLOOKUP($A37,'12 - FINANCEIRA'!_xlnm.Print_Area,10,0)</f>
        <v>604.12400000000002</v>
      </c>
      <c r="E37" s="1857" t="str">
        <f>VLOOKUP($A37,'12 - FINANCEIRA'!_xlnm.Print_Area,4,0)</f>
        <v>m³</v>
      </c>
      <c r="G37" s="396" t="str">
        <f t="shared" si="4"/>
        <v>POSITIVO</v>
      </c>
      <c r="H37" s="396">
        <f t="shared" si="5"/>
        <v>1</v>
      </c>
    </row>
    <row r="38" spans="1:8" ht="25.5" hidden="1">
      <c r="A38" s="381" t="s">
        <v>458</v>
      </c>
      <c r="B38" s="1836" t="str">
        <f>VLOOKUP($A38,'12 - FINANCEIRA'!_xlnm.Print_Area,2,0)</f>
        <v>95995</v>
      </c>
      <c r="C38" s="1837" t="str">
        <f>VLOOKUP($A38,'12 - FINANCEIRA'!_xlnm.Print_Area,3,0)</f>
        <v>Execução de pavimento com aplicação de concreto asfáltico, camada de rolamento - exclusive carga e transporte. AF-11/2019</v>
      </c>
      <c r="D38" s="1838">
        <f>VLOOKUP($A38,'12 - FINANCEIRA'!_xlnm.Print_Area,10,0)</f>
        <v>0</v>
      </c>
      <c r="E38" s="1839" t="str">
        <f>VLOOKUP($A38,'12 - FINANCEIRA'!_xlnm.Print_Area,4,0)</f>
        <v>m³</v>
      </c>
      <c r="G38" s="396" t="str">
        <f t="shared" si="4"/>
        <v>NULO</v>
      </c>
      <c r="H38" s="396">
        <f t="shared" si="5"/>
        <v>0</v>
      </c>
    </row>
    <row r="39" spans="1:8" hidden="1">
      <c r="A39" s="381" t="s">
        <v>459</v>
      </c>
      <c r="B39" s="703" t="str">
        <f>VLOOKUP($A39,'12 - FINANCEIRA'!_xlnm.Print_Area,2,0)</f>
        <v>4011352</v>
      </c>
      <c r="C39" s="704" t="str">
        <f>VLOOKUP($A39,'12 - FINANCEIRA'!_xlnm.Print_Area,3,0)</f>
        <v>Imprimação com emulsão asfáltica</v>
      </c>
      <c r="D39" s="705">
        <f>VLOOKUP($A39,'12 - FINANCEIRA'!_xlnm.Print_Area,10,0)</f>
        <v>0</v>
      </c>
      <c r="E39" s="706" t="str">
        <f>VLOOKUP($A39,'12 - FINANCEIRA'!_xlnm.Print_Area,4,0)</f>
        <v>m²</v>
      </c>
      <c r="G39" s="396" t="str">
        <f t="shared" ref="G39:G43" si="6">IF(D39&gt;0,"POSITIVO",IF(D39=0,"NULO",IF(D39&lt;0,"NEGATIVO")))</f>
        <v>NULO</v>
      </c>
      <c r="H39" s="396">
        <f t="shared" ref="H39:H43" si="7">IF(G39="NULO",0,1)</f>
        <v>0</v>
      </c>
    </row>
    <row r="40" spans="1:8" ht="25.5" hidden="1">
      <c r="A40" s="381" t="s">
        <v>460</v>
      </c>
      <c r="B40" s="775" t="str">
        <f>VLOOKUP($A40,'12 - FINANCEIRA'!_xlnm.Print_Area,2,0)</f>
        <v>COMP-645387</v>
      </c>
      <c r="C40" s="776" t="str">
        <f>VLOOKUP($A40,'12 - FINANCEIRA'!_xlnm.Print_Area,3,0)</f>
        <v>Destinação Final de Resíduos Classe II A em aterro sanitário controlado - BDI = 14,02 - BDI = 14,01</v>
      </c>
      <c r="D40" s="777">
        <f>VLOOKUP($A40,'12 - FINANCEIRA'!_xlnm.Print_Area,10,0)</f>
        <v>0</v>
      </c>
      <c r="E40" s="778" t="str">
        <f>VLOOKUP($A40,'12 - FINANCEIRA'!_xlnm.Print_Area,4,0)</f>
        <v>t</v>
      </c>
      <c r="G40" s="396" t="str">
        <f t="shared" si="6"/>
        <v>NULO</v>
      </c>
      <c r="H40" s="396">
        <f t="shared" si="7"/>
        <v>0</v>
      </c>
    </row>
    <row r="41" spans="1:8" hidden="1">
      <c r="A41" s="381" t="s">
        <v>461</v>
      </c>
      <c r="B41" s="703" t="str">
        <f>VLOOKUP($A41,'12 - FINANCEIRA'!_xlnm.Print_Area,2,0)</f>
        <v>101196</v>
      </c>
      <c r="C41" s="704" t="str">
        <f>VLOOKUP($A41,'12 - FINANCEIRA'!_xlnm.Print_Area,3,0)</f>
        <v>Emulsão Asfáltica para Imprimação (EAI), fornecimento - BDI = 14,01</v>
      </c>
      <c r="D41" s="705">
        <f>VLOOKUP($A41,'12 - FINANCEIRA'!_xlnm.Print_Area,10,0)</f>
        <v>0</v>
      </c>
      <c r="E41" s="706" t="str">
        <f>VLOOKUP($A41,'12 - FINANCEIRA'!_xlnm.Print_Area,4,0)</f>
        <v>t</v>
      </c>
      <c r="G41" s="396" t="str">
        <f t="shared" si="6"/>
        <v>NULO</v>
      </c>
      <c r="H41" s="396">
        <f t="shared" si="7"/>
        <v>0</v>
      </c>
    </row>
    <row r="42" spans="1:8">
      <c r="A42" s="381" t="s">
        <v>462</v>
      </c>
      <c r="B42" s="1858" t="str">
        <f>VLOOKUP($A42,'12 - FINANCEIRA'!_xlnm.Print_Area,2,0)</f>
        <v>5914336</v>
      </c>
      <c r="C42" s="1834" t="str">
        <f>VLOOKUP($A42,'12 - FINANCEIRA'!_xlnm.Print_Area,3,0)</f>
        <v>Transporte com caminhão basculante de 12m³ - rodovia pavimentada - material de 1º categoria</v>
      </c>
      <c r="D42" s="1835">
        <f>VLOOKUP($A42,'12 - FINANCEIRA'!_xlnm.Print_Area,10,0)</f>
        <v>16833.688999999998</v>
      </c>
      <c r="E42" s="1858" t="str">
        <f>VLOOKUP($A42,'12 - FINANCEIRA'!_xlnm.Print_Area,4,0)</f>
        <v>t/km</v>
      </c>
      <c r="G42" s="396" t="str">
        <f t="shared" si="6"/>
        <v>POSITIVO</v>
      </c>
      <c r="H42" s="396">
        <f t="shared" si="7"/>
        <v>1</v>
      </c>
    </row>
    <row r="43" spans="1:8" ht="25.5">
      <c r="A43" s="381" t="s">
        <v>463</v>
      </c>
      <c r="B43" s="1857" t="str">
        <f>VLOOKUP($A43,'12 - FINANCEIRA'!_xlnm.Print_Area,2,0)</f>
        <v>I070114</v>
      </c>
      <c r="C43" s="586" t="str">
        <f>VLOOKUP($A43,'12 - FINANCEIRA'!_xlnm.Print_Area,3,0)</f>
        <v>Remoção residuos Classe A Conama (caçamba) Classe II B (NBR10004) inclusive destinação final - BDI = 14,01</v>
      </c>
      <c r="D43" s="587">
        <f>VLOOKUP($A43,'12 - FINANCEIRA'!_xlnm.Print_Area,10,0)</f>
        <v>1504.8169999999991</v>
      </c>
      <c r="E43" s="1857" t="str">
        <f>VLOOKUP($A43,'12 - FINANCEIRA'!_xlnm.Print_Area,4,0)</f>
        <v>m³</v>
      </c>
      <c r="G43" s="396" t="str">
        <f t="shared" si="6"/>
        <v>POSITIVO</v>
      </c>
      <c r="H43" s="396">
        <f t="shared" si="7"/>
        <v>1</v>
      </c>
    </row>
    <row r="44" spans="1:8" s="375" customFormat="1">
      <c r="A44" s="407" t="s">
        <v>450</v>
      </c>
      <c r="B44" s="1856" t="str">
        <f>VLOOKUP(A44,'12 - FINANCEIRA'!_xlnm.Print_Area,1,0)</f>
        <v>2.2</v>
      </c>
      <c r="C44" s="589" t="str">
        <f>VLOOKUP(A44,'12 - FINANCEIRA'!_xlnm.Print_Area,2,0)</f>
        <v>DRENAGEM PLUVIAL</v>
      </c>
      <c r="D44" s="590"/>
      <c r="E44" s="1856"/>
      <c r="F44" s="393"/>
      <c r="G44" s="396"/>
      <c r="H44" s="396">
        <f>SUM(H45:H49)</f>
        <v>2</v>
      </c>
    </row>
    <row r="45" spans="1:8" ht="38.25">
      <c r="A45" s="381" t="s">
        <v>478</v>
      </c>
      <c r="B45" s="1857" t="str">
        <f>VLOOKUP($A45,'12 - FINANCEIRA'!_xlnm.Print_Area,2,0)</f>
        <v>CP-5199-83627</v>
      </c>
      <c r="C45" s="586" t="str">
        <f>VLOOKUP($A45,'12 - FINANCEIRA'!_xlnm.Print_Area,3,0)</f>
        <v>Tampão FOFO articulado, classe B125 carga max 12,5 t, redondo tampa 600 mm, rede pluvial/esgoto, p = chamine cx areia / poço visita assentado com arg cim/areia 1:4, fornecimento e assentamento</v>
      </c>
      <c r="D45" s="587">
        <f>VLOOKUP($A45,'12 - FINANCEIRA'!_xlnm.Print_Area,10,0)</f>
        <v>9</v>
      </c>
      <c r="E45" s="1857" t="str">
        <f>VLOOKUP($A45,'12 - FINANCEIRA'!_xlnm.Print_Area,4,0)</f>
        <v>und</v>
      </c>
      <c r="G45" s="396" t="str">
        <f>IF(D45&gt;0,"POSITIVO",IF(D45=0,"NULO",IF(D45&lt;0,"NEGATIVO")))</f>
        <v>POSITIVO</v>
      </c>
      <c r="H45" s="396">
        <f>IF(G45="NULO",0,1)</f>
        <v>1</v>
      </c>
    </row>
    <row r="46" spans="1:8" hidden="1">
      <c r="A46" s="381" t="s">
        <v>479</v>
      </c>
      <c r="B46" s="735" t="str">
        <f>VLOOKUP($A46,'12 - FINANCEIRA'!_xlnm.Print_Area,2,0)</f>
        <v>0804015</v>
      </c>
      <c r="C46" s="1834" t="str">
        <f>VLOOKUP($A46,'12 - FINANCEIRA'!_xlnm.Print_Area,3,0)</f>
        <v>Corpo de BSTC D = 0,40 m CA2 - areia, brita e pedra de mão comerciais</v>
      </c>
      <c r="D46" s="1835">
        <f>VLOOKUP($A46,'12 - FINANCEIRA'!_xlnm.Print_Area,10,0)</f>
        <v>0</v>
      </c>
      <c r="E46" s="736" t="str">
        <f>VLOOKUP($A46,'12 - FINANCEIRA'!_xlnm.Print_Area,4,0)</f>
        <v>m</v>
      </c>
      <c r="G46" s="396" t="str">
        <f t="shared" ref="G46:G49" si="8">IF(D46&gt;0,"POSITIVO",IF(D46=0,"NULO",IF(D46&lt;0,"NEGATIVO")))</f>
        <v>NULO</v>
      </c>
      <c r="H46" s="396">
        <f t="shared" ref="H46:H49" si="9">IF(G46="NULO",0,1)</f>
        <v>0</v>
      </c>
    </row>
    <row r="47" spans="1:8" ht="16.5" customHeight="1">
      <c r="A47" s="381" t="s">
        <v>480</v>
      </c>
      <c r="B47" s="1858" t="str">
        <f>VLOOKUP($A47,'12 - FINANCEIRA'!_xlnm.Print_Area,2,0)</f>
        <v>2003680</v>
      </c>
      <c r="C47" s="1834" t="str">
        <f>VLOOKUP($A47,'12 - FINANCEIRA'!_xlnm.Print_Area,3,0)</f>
        <v>Poço de visita - PVI 02 - areia e brita comerciais</v>
      </c>
      <c r="D47" s="1835">
        <f>VLOOKUP($A47,'12 - FINANCEIRA'!_xlnm.Print_Area,10,0)</f>
        <v>1</v>
      </c>
      <c r="E47" s="1858" t="str">
        <f>VLOOKUP($A47,'12 - FINANCEIRA'!_xlnm.Print_Area,4,0)</f>
        <v>und</v>
      </c>
      <c r="G47" s="396" t="str">
        <f t="shared" si="8"/>
        <v>POSITIVO</v>
      </c>
      <c r="H47" s="396">
        <f t="shared" si="9"/>
        <v>1</v>
      </c>
    </row>
    <row r="48" spans="1:8" ht="25.5" hidden="1">
      <c r="A48" s="381" t="s">
        <v>481</v>
      </c>
      <c r="B48" s="1836" t="str">
        <f>VLOOKUP($A48,'12 - FINANCEIRA'!_xlnm.Print_Area,2,0)</f>
        <v>SICRO-0804015- apd</v>
      </c>
      <c r="C48" s="1837" t="str">
        <f>VLOOKUP($A48,'12 - FINANCEIRA'!_xlnm.Print_Area,3,0)</f>
        <v>Corpo de BSTC D = 0,50 m CA2 - areia, brita e pedra de mão comerciais</v>
      </c>
      <c r="D48" s="1838">
        <f>VLOOKUP($A48,'12 - FINANCEIRA'!_xlnm.Print_Area,10,0)</f>
        <v>0</v>
      </c>
      <c r="E48" s="1839" t="str">
        <f>VLOOKUP($A48,'12 - FINANCEIRA'!_xlnm.Print_Area,4,0)</f>
        <v>m</v>
      </c>
      <c r="G48" s="396" t="str">
        <f t="shared" si="8"/>
        <v>NULO</v>
      </c>
      <c r="H48" s="396">
        <f t="shared" si="9"/>
        <v>0</v>
      </c>
    </row>
    <row r="49" spans="1:11" hidden="1">
      <c r="A49" s="381" t="s">
        <v>482</v>
      </c>
      <c r="B49" s="703" t="str">
        <f>VLOOKUP($A49,'12 - FINANCEIRA'!_xlnm.Print_Area,2,0)</f>
        <v>0804022</v>
      </c>
      <c r="C49" s="704" t="str">
        <f>VLOOKUP($A49,'12 - FINANCEIRA'!_xlnm.Print_Area,3,0)</f>
        <v>Corpo de BSTC D = 0,60 m CA2 - areia extraída e brita e pedra de mão produzidas</v>
      </c>
      <c r="D49" s="705">
        <f>VLOOKUP($A49,'12 - FINANCEIRA'!_xlnm.Print_Area,10,0)</f>
        <v>0</v>
      </c>
      <c r="E49" s="706" t="str">
        <f>VLOOKUP($A49,'12 - FINANCEIRA'!_xlnm.Print_Area,4,0)</f>
        <v>m</v>
      </c>
      <c r="G49" s="396" t="str">
        <f t="shared" si="8"/>
        <v>NULO</v>
      </c>
      <c r="H49" s="396">
        <f t="shared" si="9"/>
        <v>0</v>
      </c>
    </row>
    <row r="50" spans="1:11" s="375" customFormat="1">
      <c r="A50" s="407" t="s">
        <v>486</v>
      </c>
      <c r="B50" s="1856" t="str">
        <f>VLOOKUP(A50,'12 - FINANCEIRA'!_xlnm.Print_Area,1,0)</f>
        <v>2.3</v>
      </c>
      <c r="C50" s="589" t="str">
        <f>VLOOKUP(A50,'12 - FINANCEIRA'!_xlnm.Print_Area,2,0)</f>
        <v>MANUTENÇÃO REDE ESGOTO</v>
      </c>
      <c r="D50" s="590"/>
      <c r="E50" s="1856"/>
      <c r="F50" s="393"/>
      <c r="G50" s="396"/>
      <c r="H50" s="396">
        <f>SUM(H51:H51)</f>
        <v>1</v>
      </c>
      <c r="K50" s="373"/>
    </row>
    <row r="51" spans="1:11" ht="15" customHeight="1">
      <c r="A51" s="381" t="s">
        <v>487</v>
      </c>
      <c r="B51" s="1854" t="str">
        <f>VLOOKUP($A51,'12 - FINANCEIRA'!_xlnm.Print_Area,2,0)</f>
        <v>2003680</v>
      </c>
      <c r="C51" s="1837" t="str">
        <f>VLOOKUP($A51,'12 - FINANCEIRA'!_xlnm.Print_Area,3,0)</f>
        <v>Poço de visita - PVI 02 - areia e brita comerciais</v>
      </c>
      <c r="D51" s="1838">
        <f>VLOOKUP($A51,'12 - FINANCEIRA'!_xlnm.Print_Area,10,0)</f>
        <v>9</v>
      </c>
      <c r="E51" s="1854" t="str">
        <f>VLOOKUP($A51,'12 - FINANCEIRA'!_xlnm.Print_Area,4,0)</f>
        <v>und</v>
      </c>
      <c r="G51" s="396" t="str">
        <f>IF(D51&gt;0,"POSITIVO",IF(D51=0,"NULO",IF(D51&lt;0,"NEGATIVO")))</f>
        <v>POSITIVO</v>
      </c>
      <c r="H51" s="396">
        <f>IF(G51="NULO",0,1)</f>
        <v>1</v>
      </c>
    </row>
    <row r="52" spans="1:11" s="375" customFormat="1">
      <c r="A52" s="407" t="s">
        <v>488</v>
      </c>
      <c r="B52" s="1859" t="str">
        <f>VLOOKUP(A52,'12 - FINANCEIRA'!_xlnm.Print_Area,1,0)</f>
        <v>2.4</v>
      </c>
      <c r="C52" s="1860" t="str">
        <f>VLOOKUP(A52,'12 - FINANCEIRA'!_xlnm.Print_Area,2,0)</f>
        <v>OBRAS COMPLEMENTARES</v>
      </c>
      <c r="D52" s="1861"/>
      <c r="E52" s="1859"/>
      <c r="F52" s="393"/>
      <c r="G52" s="396"/>
      <c r="H52" s="396">
        <f>SUM(H53:H56)</f>
        <v>2</v>
      </c>
    </row>
    <row r="53" spans="1:11" ht="15.75" customHeight="1">
      <c r="A53" s="381" t="s">
        <v>489</v>
      </c>
      <c r="B53" s="1857" t="str">
        <f>VLOOKUP($A53,'12 - FINANCEIRA'!_xlnm.Print_Area,2,0)</f>
        <v>1600436</v>
      </c>
      <c r="C53" s="586" t="str">
        <f>VLOOKUP($A53,'12 - FINANCEIRA'!_xlnm.Print_Area,3,0)</f>
        <v>Demolição de concreto simples (PV e BSTC)</v>
      </c>
      <c r="D53" s="587">
        <f>VLOOKUP($A53,'12 - FINANCEIRA'!_xlnm.Print_Area,10,0)</f>
        <v>244</v>
      </c>
      <c r="E53" s="1857" t="str">
        <f>VLOOKUP($A53,'12 - FINANCEIRA'!_xlnm.Print_Area,4,0)</f>
        <v>m³</v>
      </c>
      <c r="G53" s="396" t="str">
        <f>IF(D53&gt;0,"POSITIVO",IF(D53=0,"NULO",IF(D53&lt;0,"NEGATIVO")))</f>
        <v>POSITIVO</v>
      </c>
      <c r="H53" s="396">
        <f>IF(G53="NULO",0,1)</f>
        <v>1</v>
      </c>
    </row>
    <row r="54" spans="1:11">
      <c r="A54" s="381" t="s">
        <v>490</v>
      </c>
      <c r="B54" s="1855" t="str">
        <f>VLOOKUP($A54,'12 - FINANCEIRA'!_xlnm.Print_Area,2,0)</f>
        <v>42506</v>
      </c>
      <c r="C54" s="704" t="str">
        <f>VLOOKUP($A54,'12 - FINANCEIRA'!_xlnm.Print_Area,3,0)</f>
        <v>Remoção e reassentamento de paralelepípedos, inclusive perdas em Vias Urbanas</v>
      </c>
      <c r="D54" s="705">
        <f>VLOOKUP($A54,'12 - FINANCEIRA'!_xlnm.Print_Area,10,0)</f>
        <v>68.634999999999991</v>
      </c>
      <c r="E54" s="1855" t="str">
        <f>VLOOKUP($A54,'12 - FINANCEIRA'!_xlnm.Print_Area,4,0)</f>
        <v>m²</v>
      </c>
      <c r="G54" s="396" t="str">
        <f>IF(D54&gt;0,"POSITIVO",IF(D54=0,"NULO",IF(D54&lt;0,"NEGATIVO")))</f>
        <v>POSITIVO</v>
      </c>
      <c r="H54" s="396">
        <f>IF(G54="NULO",0,1)</f>
        <v>1</v>
      </c>
    </row>
    <row r="55" spans="1:11" hidden="1">
      <c r="A55" s="381" t="s">
        <v>491</v>
      </c>
      <c r="B55" s="735" t="str">
        <f>VLOOKUP($A55,'12 - FINANCEIRA'!_xlnm.Print_Area,2,0)</f>
        <v>40867</v>
      </c>
      <c r="C55" s="1834" t="str">
        <f>VLOOKUP($A55,'12 - FINANCEIRA'!_xlnm.Print_Area,3,0)</f>
        <v>Demolição e remoção de pavimento asfáltico</v>
      </c>
      <c r="D55" s="1835">
        <f>VLOOKUP($A55,'12 - FINANCEIRA'!_xlnm.Print_Area,10,0)</f>
        <v>0</v>
      </c>
      <c r="E55" s="736" t="str">
        <f>VLOOKUP($A55,'12 - FINANCEIRA'!_xlnm.Print_Area,4,0)</f>
        <v>m²</v>
      </c>
      <c r="G55" s="396" t="str">
        <f>IF(D55&gt;0,"POSITIVO",IF(D55=0,"NULO",IF(D55&lt;0,"NEGATIVO")))</f>
        <v>NULO</v>
      </c>
      <c r="H55" s="396">
        <f>IF(G55="NULO",0,1)</f>
        <v>0</v>
      </c>
    </row>
    <row r="56" spans="1:11" hidden="1">
      <c r="A56" s="381" t="s">
        <v>673</v>
      </c>
      <c r="B56" s="703" t="str">
        <f>VLOOKUP($A56,'12 - FINANCEIRA'!_xlnm.Print_Area,2,0)</f>
        <v>S030304</v>
      </c>
      <c r="C56" s="704" t="str">
        <f>VLOOKUP($A56,'12 - FINANCEIRA'!_xlnm.Print_Area,3,0)</f>
        <v>Índice de preço para remoção de entulho decorrente da execução de obras - BDI = 14,01</v>
      </c>
      <c r="D56" s="705">
        <f>VLOOKUP($A56,'12 - FINANCEIRA'!_xlnm.Print_Area,10,0)</f>
        <v>0</v>
      </c>
      <c r="E56" s="706" t="str">
        <f>VLOOKUP($A56,'12 - FINANCEIRA'!_xlnm.Print_Area,4,0)</f>
        <v>m³</v>
      </c>
      <c r="G56" s="396" t="str">
        <f>IF(D56&gt;0,"POSITIVO",IF(D56=0,"NULO",IF(D56&lt;0,"NEGATIVO")))</f>
        <v>NULO</v>
      </c>
      <c r="H56" s="396">
        <f>IF(G56="NULO",0,1)</f>
        <v>0</v>
      </c>
    </row>
    <row r="57" spans="1:11" s="375" customFormat="1">
      <c r="A57" s="407" t="s">
        <v>492</v>
      </c>
      <c r="B57" s="1856" t="str">
        <f>VLOOKUP(A57,'12 - FINANCEIRA'!_xlnm.Print_Area,1,0)</f>
        <v>2.5</v>
      </c>
      <c r="C57" s="589" t="str">
        <f>VLOOKUP(A57,'12 - FINANCEIRA'!_xlnm.Print_Area,2,0)</f>
        <v>ESTRUTURA</v>
      </c>
      <c r="D57" s="590"/>
      <c r="E57" s="1856"/>
      <c r="F57" s="393"/>
      <c r="G57" s="396"/>
      <c r="H57" s="396">
        <f>SUM(H58:H70)</f>
        <v>7</v>
      </c>
      <c r="K57" s="373"/>
    </row>
    <row r="58" spans="1:11" ht="29.25" customHeight="1">
      <c r="A58" s="381" t="s">
        <v>496</v>
      </c>
      <c r="B58" s="1854" t="str">
        <f>VLOOKUP($A58,'12 - FINANCEIRA'!_xlnm.Print_Area,2,0)</f>
        <v>GUARANHUNS12F-6817851</v>
      </c>
      <c r="C58" s="1837" t="str">
        <f>VLOOKUP($A58,'12 - FINANCEIRA'!_xlnm.Print_Area,3,0)</f>
        <v>Fornecimento e assentamento de galeria de concreto pré-moldado 2,0 X 1,5 metros fechada (tampa fixa) (m)</v>
      </c>
      <c r="D58" s="1838">
        <f>VLOOKUP($A58,'12 - FINANCEIRA'!_xlnm.Print_Area,10,0)</f>
        <v>4</v>
      </c>
      <c r="E58" s="1854" t="str">
        <f>VLOOKUP($A58,'12 - FINANCEIRA'!_xlnm.Print_Area,4,0)</f>
        <v>m</v>
      </c>
      <c r="G58" s="396" t="str">
        <f>IF(D58&gt;0,"POSITIVO",IF(D58=0,"NULO",IF(D58&lt;0,"NEGATIVO")))</f>
        <v>POSITIVO</v>
      </c>
      <c r="H58" s="396">
        <f>IF(G58="NULO",0,1)</f>
        <v>1</v>
      </c>
    </row>
    <row r="59" spans="1:11" ht="27" customHeight="1">
      <c r="A59" s="381" t="s">
        <v>497</v>
      </c>
      <c r="B59" s="1857" t="str">
        <f>VLOOKUP($A59,'12 - FINANCEIRA'!_xlnm.Print_Area,2,0)</f>
        <v>GUARANHUNS12A-6817851</v>
      </c>
      <c r="C59" s="586" t="str">
        <f>VLOOKUP($A59,'12 - FINANCEIRA'!_xlnm.Print_Area,3,0)</f>
        <v>Fornecimento e assentamento de galeria de concreto pré-moldado 2,0 X 1,5 metros aberta (tampa removível) (m)</v>
      </c>
      <c r="D59" s="587">
        <f>VLOOKUP($A59,'12 - FINANCEIRA'!_xlnm.Print_Area,10,0)</f>
        <v>17.39</v>
      </c>
      <c r="E59" s="1857" t="str">
        <f>VLOOKUP($A59,'12 - FINANCEIRA'!_xlnm.Print_Area,4,0)</f>
        <v>m</v>
      </c>
      <c r="G59" s="396" t="str">
        <f t="shared" ref="G59:G65" si="10">IF(D59&gt;0,"POSITIVO",IF(D59=0,"NULO",IF(D59&lt;0,"NEGATIVO")))</f>
        <v>POSITIVO</v>
      </c>
      <c r="H59" s="396">
        <f t="shared" ref="H59:H65" si="11">IF(G59="NULO",0,1)</f>
        <v>1</v>
      </c>
    </row>
    <row r="60" spans="1:11" hidden="1">
      <c r="A60" s="381" t="s">
        <v>498</v>
      </c>
      <c r="B60" s="735" t="str">
        <f>VLOOKUP($A60,'12 - FINANCEIRA'!_xlnm.Print_Area,2,0)</f>
        <v>1106057</v>
      </c>
      <c r="C60" s="1834" t="str">
        <f>VLOOKUP($A60,'12 - FINANCEIRA'!_xlnm.Print_Area,3,0)</f>
        <v>Concreto magro - confecção em betoneira e lançamento manual - areia e brita comerciais</v>
      </c>
      <c r="D60" s="1835">
        <f>VLOOKUP($A60,'12 - FINANCEIRA'!_xlnm.Print_Area,10,0)</f>
        <v>0</v>
      </c>
      <c r="E60" s="736" t="str">
        <f>VLOOKUP($A60,'12 - FINANCEIRA'!_xlnm.Print_Area,4,0)</f>
        <v>m³</v>
      </c>
      <c r="G60" s="396" t="str">
        <f t="shared" si="10"/>
        <v>NULO</v>
      </c>
      <c r="H60" s="396">
        <f t="shared" si="11"/>
        <v>0</v>
      </c>
    </row>
    <row r="61" spans="1:11" ht="25.5" customHeight="1">
      <c r="A61" s="381" t="s">
        <v>499</v>
      </c>
      <c r="B61" s="1854" t="str">
        <f>VLOOKUP($A61,'12 - FINANCEIRA'!_xlnm.Print_Area,2,0)</f>
        <v>96541</v>
      </c>
      <c r="C61" s="1837" t="str">
        <f>VLOOKUP($A61,'12 - FINANCEIRA'!_xlnm.Print_Area,3,0)</f>
        <v>Fabricação, montagem e desmontagem de fôrma em chapa de madeira compensada resinada, e=17 mm</v>
      </c>
      <c r="D61" s="1838">
        <f>VLOOKUP($A61,'12 - FINANCEIRA'!_xlnm.Print_Area,10,0)</f>
        <v>11.423999999999999</v>
      </c>
      <c r="E61" s="1854" t="str">
        <f>VLOOKUP($A61,'12 - FINANCEIRA'!_xlnm.Print_Area,4,0)</f>
        <v>m²</v>
      </c>
      <c r="G61" s="396" t="str">
        <f t="shared" si="10"/>
        <v>POSITIVO</v>
      </c>
      <c r="H61" s="396">
        <f t="shared" si="11"/>
        <v>1</v>
      </c>
    </row>
    <row r="62" spans="1:11">
      <c r="A62" s="381" t="s">
        <v>500</v>
      </c>
      <c r="B62" s="1854" t="str">
        <f>VLOOKUP($A62,'12 - FINANCEIRA'!_xlnm.Print_Area,2,0)</f>
        <v>1107890</v>
      </c>
      <c r="C62" s="1837" t="str">
        <f>VLOOKUP($A62,'12 - FINANCEIRA'!_xlnm.Print_Area,3,0)</f>
        <v>Concreto fck = 30 MPa - confecção em central dosadora de 30 m³/h - areia e brita comerciais</v>
      </c>
      <c r="D62" s="1838">
        <f>VLOOKUP($A62,'12 - FINANCEIRA'!_xlnm.Print_Area,10,0)</f>
        <v>97.491</v>
      </c>
      <c r="E62" s="1854" t="str">
        <f>VLOOKUP($A62,'12 - FINANCEIRA'!_xlnm.Print_Area,4,0)</f>
        <v>m³</v>
      </c>
      <c r="G62" s="396" t="str">
        <f t="shared" si="10"/>
        <v>POSITIVO</v>
      </c>
      <c r="H62" s="396">
        <f t="shared" si="11"/>
        <v>1</v>
      </c>
    </row>
    <row r="63" spans="1:11">
      <c r="A63" s="381" t="s">
        <v>501</v>
      </c>
      <c r="B63" s="1857" t="str">
        <f>VLOOKUP($A63,'12 - FINANCEIRA'!_xlnm.Print_Area,2,0)</f>
        <v>00025950</v>
      </c>
      <c r="C63" s="586" t="str">
        <f>VLOOKUP($A63,'12 - FINANCEIRA'!_xlnm.Print_Area,3,0)</f>
        <v>Serviço de bombeamento de concreto</v>
      </c>
      <c r="D63" s="587">
        <f>VLOOKUP($A63,'12 - FINANCEIRA'!_xlnm.Print_Area,10,0)</f>
        <v>97.491</v>
      </c>
      <c r="E63" s="1857" t="str">
        <f>VLOOKUP($A63,'12 - FINANCEIRA'!_xlnm.Print_Area,4,0)</f>
        <v>m³</v>
      </c>
      <c r="G63" s="396" t="str">
        <f t="shared" si="10"/>
        <v>POSITIVO</v>
      </c>
      <c r="H63" s="396">
        <f t="shared" si="11"/>
        <v>1</v>
      </c>
    </row>
    <row r="64" spans="1:11" ht="25.5" hidden="1">
      <c r="A64" s="381" t="s">
        <v>502</v>
      </c>
      <c r="B64" s="1836" t="str">
        <f>VLOOKUP($A64,'12 - FINANCEIRA'!_xlnm.Print_Area,2,0)</f>
        <v>CP-3762-S160326</v>
      </c>
      <c r="C64" s="1837" t="str">
        <f>VLOOKUP($A64,'12 - FINANCEIRA'!_xlnm.Print_Area,3,0)</f>
        <v>Barra chata em qualquer dimensão</v>
      </c>
      <c r="D64" s="1838">
        <f>VLOOKUP($A64,'12 - FINANCEIRA'!_xlnm.Print_Area,10,0)</f>
        <v>0</v>
      </c>
      <c r="E64" s="1839" t="str">
        <f>VLOOKUP($A64,'12 - FINANCEIRA'!_xlnm.Print_Area,4,0)</f>
        <v>kg</v>
      </c>
      <c r="G64" s="396" t="str">
        <f t="shared" si="10"/>
        <v>NULO</v>
      </c>
      <c r="H64" s="396">
        <f t="shared" si="11"/>
        <v>0</v>
      </c>
    </row>
    <row r="65" spans="1:11" s="375" customFormat="1" hidden="1">
      <c r="A65" s="381" t="s">
        <v>674</v>
      </c>
      <c r="B65" s="737" t="str">
        <f>VLOOKUP($A65,'12 - FINANCEIRA'!_xlnm.Print_Area,2,0)</f>
        <v>0407820</v>
      </c>
      <c r="C65" s="1267" t="str">
        <f>VLOOKUP($A65,'12 - FINANCEIRA'!_xlnm.Print_Area,3,0)</f>
        <v>Armação em aço CA-60 - fornecimento, preparo e colocação</v>
      </c>
      <c r="D65" s="708">
        <f>VLOOKUP($A65,'12 - FINANCEIRA'!_xlnm.Print_Area,10,0)</f>
        <v>0</v>
      </c>
      <c r="E65" s="738" t="str">
        <f>VLOOKUP($A65,'12 - FINANCEIRA'!_xlnm.Print_Area,4,0)</f>
        <v>kg</v>
      </c>
      <c r="F65" s="393"/>
      <c r="G65" s="396" t="str">
        <f t="shared" si="10"/>
        <v>NULO</v>
      </c>
      <c r="H65" s="396">
        <f t="shared" si="11"/>
        <v>0</v>
      </c>
      <c r="K65" s="373"/>
    </row>
    <row r="66" spans="1:11" hidden="1">
      <c r="A66" s="381" t="s">
        <v>675</v>
      </c>
      <c r="B66" s="737" t="str">
        <f>VLOOKUP($A66,'12 - FINANCEIRA'!_xlnm.Print_Area,2,0)</f>
        <v>0407819</v>
      </c>
      <c r="C66" s="707" t="str">
        <f>VLOOKUP($A66,'12 - FINANCEIRA'!_xlnm.Print_Area,3,0)</f>
        <v>Armação em aço CA-50 - fornecimento, preparo e colocação</v>
      </c>
      <c r="D66" s="708">
        <f>VLOOKUP($A66,'12 - FINANCEIRA'!_xlnm.Print_Area,10,0)</f>
        <v>0</v>
      </c>
      <c r="E66" s="738" t="str">
        <f>VLOOKUP($A66,'12 - FINANCEIRA'!_xlnm.Print_Area,4,0)</f>
        <v>kg</v>
      </c>
      <c r="G66" s="396" t="str">
        <f>IF(D66&gt;0,"POSITIVO",IF(D66=0,"NULO",IF(D66&lt;0,"NEGATIVO")))</f>
        <v>NULO</v>
      </c>
      <c r="H66" s="396">
        <f>IF(G66="NULO",0,1)</f>
        <v>0</v>
      </c>
    </row>
    <row r="67" spans="1:11" ht="25.5" hidden="1">
      <c r="A67" s="381" t="s">
        <v>676</v>
      </c>
      <c r="B67" s="737" t="str">
        <f>VLOOKUP($A67,'12 - FINANCEIRA'!_xlnm.Print_Area,2,0)</f>
        <v>100322</v>
      </c>
      <c r="C67" s="707" t="str">
        <f>VLOOKUP($A67,'12 - FINANCEIRA'!_xlnm.Print_Area,3,0)</f>
        <v>Lastro com material granular (pedra britada n.3), aplicado em pisos ou radiers, espessura de *10 cm*. AF_07/2019</v>
      </c>
      <c r="D67" s="708">
        <f>VLOOKUP($A67,'12 - FINANCEIRA'!_xlnm.Print_Area,10,0)</f>
        <v>0</v>
      </c>
      <c r="E67" s="738" t="str">
        <f>VLOOKUP($A67,'12 - FINANCEIRA'!_xlnm.Print_Area,4,0)</f>
        <v>m³</v>
      </c>
      <c r="G67" s="396" t="str">
        <f t="shared" ref="G67:G70" si="12">IF(D67&gt;0,"POSITIVO",IF(D67=0,"NULO",IF(D67&lt;0,"NEGATIVO")))</f>
        <v>NULO</v>
      </c>
      <c r="H67" s="396">
        <f t="shared" ref="H67:H70" si="13">IF(G67="NULO",0,1)</f>
        <v>0</v>
      </c>
    </row>
    <row r="68" spans="1:11" ht="25.5" hidden="1">
      <c r="A68" s="381" t="s">
        <v>677</v>
      </c>
      <c r="B68" s="735" t="str">
        <f>VLOOKUP($A68,'12 - FINANCEIRA'!_xlnm.Print_Area,2,0)</f>
        <v>CESAN 7050100030</v>
      </c>
      <c r="C68" s="1834" t="str">
        <f>VLOOKUP($A68,'12 - FINANCEIRA'!_xlnm.Print_Area,3,0)</f>
        <v>Escoramento cavas com prancha metalica</v>
      </c>
      <c r="D68" s="1835">
        <f>VLOOKUP($A68,'12 - FINANCEIRA'!_xlnm.Print_Area,10,0)</f>
        <v>0</v>
      </c>
      <c r="E68" s="736" t="str">
        <f>VLOOKUP($A68,'12 - FINANCEIRA'!_xlnm.Print_Area,4,0)</f>
        <v>m²</v>
      </c>
      <c r="G68" s="396" t="str">
        <f t="shared" si="12"/>
        <v>NULO</v>
      </c>
      <c r="H68" s="396">
        <f t="shared" si="13"/>
        <v>0</v>
      </c>
    </row>
    <row r="69" spans="1:11" ht="25.5">
      <c r="A69" s="381" t="s">
        <v>678</v>
      </c>
      <c r="B69" s="1854" t="str">
        <f>VLOOKUP($A69,'12 - FINANCEIRA'!_xlnm.Print_Area,2,0)</f>
        <v>CESAN-7060100030</v>
      </c>
      <c r="C69" s="1837" t="str">
        <f>VLOOKUP($A69,'12 - FINANCEIRA'!_xlnm.Print_Area,3,0)</f>
        <v>Rebaixamento de lencol freatico com pont filtrantes</v>
      </c>
      <c r="D69" s="1838">
        <f>VLOOKUP($A69,'12 - FINANCEIRA'!_xlnm.Print_Area,10,0)</f>
        <v>1</v>
      </c>
      <c r="E69" s="1854" t="str">
        <f>VLOOKUP($A69,'12 - FINANCEIRA'!_xlnm.Print_Area,4,0)</f>
        <v>mês</v>
      </c>
      <c r="G69" s="396" t="str">
        <f t="shared" si="12"/>
        <v>POSITIVO</v>
      </c>
      <c r="H69" s="396">
        <f t="shared" si="13"/>
        <v>1</v>
      </c>
    </row>
    <row r="70" spans="1:11">
      <c r="A70" s="381" t="s">
        <v>679</v>
      </c>
      <c r="B70" s="1854" t="str">
        <f>VLOOKUP($A70,'12 - FINANCEIRA'!_xlnm.Print_Area,2,0)</f>
        <v>2003864</v>
      </c>
      <c r="C70" s="1837" t="str">
        <f>VLOOKUP($A70,'12 - FINANCEIRA'!_xlnm.Print_Area,3,0)</f>
        <v>Esgotamento de água com bomba submersa</v>
      </c>
      <c r="D70" s="1838">
        <f>VLOOKUP($A70,'12 - FINANCEIRA'!_xlnm.Print_Area,10,0)</f>
        <v>1920</v>
      </c>
      <c r="E70" s="1854" t="str">
        <f>VLOOKUP($A70,'12 - FINANCEIRA'!_xlnm.Print_Area,4,0)</f>
        <v>h</v>
      </c>
      <c r="G70" s="396" t="str">
        <f t="shared" si="12"/>
        <v>POSITIVO</v>
      </c>
      <c r="H70" s="396">
        <f t="shared" si="13"/>
        <v>1</v>
      </c>
    </row>
    <row r="71" spans="1:11" s="374" customFormat="1">
      <c r="A71" s="553">
        <v>3</v>
      </c>
      <c r="B71" s="1852">
        <f>VLOOKUP($A71,'12 - FINANCEIRA'!_xlnm.Print_Area,1,0)</f>
        <v>3</v>
      </c>
      <c r="C71" s="783" t="str">
        <f>VLOOKUP($A71,'12 - FINANCEIRA'!_xlnm.Print_Area,2,0)</f>
        <v>SERVIÇOS NOVOS</v>
      </c>
      <c r="D71" s="784"/>
      <c r="E71" s="1852"/>
      <c r="F71" s="392"/>
      <c r="G71" s="396"/>
      <c r="H71" s="396">
        <f>SUM(H72:H87)</f>
        <v>28</v>
      </c>
    </row>
    <row r="72" spans="1:11" s="375" customFormat="1">
      <c r="A72" s="407" t="s">
        <v>948</v>
      </c>
      <c r="B72" s="1856" t="str">
        <f>VLOOKUP($A72,'12 - FINANCEIRA'!_xlnm.Print_Area,1,0)</f>
        <v>3.1</v>
      </c>
      <c r="C72" s="589" t="str">
        <f>VLOOKUP($A72,'12 - FINANCEIRA'!_xlnm.Print_Area,2,0)</f>
        <v>IMPLANTAÇÃO DO CANTEIRO DE OBRAS</v>
      </c>
      <c r="D72" s="590"/>
      <c r="E72" s="1856"/>
      <c r="F72" s="393"/>
      <c r="G72" s="396"/>
      <c r="H72" s="396">
        <f>SUM(H73)</f>
        <v>1</v>
      </c>
    </row>
    <row r="73" spans="1:11">
      <c r="A73" s="381" t="s">
        <v>949</v>
      </c>
      <c r="B73" s="1857" t="str">
        <f>VLOOKUP($A73,'12 - FINANCEIRA'!_xlnm.Print_Area,2,0)</f>
        <v>COMPOSIÇÃO</v>
      </c>
      <c r="C73" s="586" t="str">
        <f>VLOOKUP($A73,'12 - FINANCEIRA'!_xlnm.Print_Area,3,0)</f>
        <v>Elaboração de PGR (Programa de Gerenciamento de Resíduos)</v>
      </c>
      <c r="D73" s="587">
        <f>VLOOKUP($A73,'12 - FINANCEIRA'!_xlnm.Print_Area,10,0)</f>
        <v>1</v>
      </c>
      <c r="E73" s="1857" t="str">
        <f>VLOOKUP($A73,'12 - FINANCEIRA'!_xlnm.Print_Area,4,0)</f>
        <v>und</v>
      </c>
      <c r="G73" s="396" t="str">
        <f t="shared" ref="G73:G87" si="14">IF(D73&gt;0,"POSITIVO",IF(D73=0,"NULO",IF(D73&lt;0,"NEGATIVO")))</f>
        <v>POSITIVO</v>
      </c>
      <c r="H73" s="396">
        <f t="shared" ref="H73:H87" si="15">IF(G73="NULO",0,1)</f>
        <v>1</v>
      </c>
    </row>
    <row r="74" spans="1:11" s="375" customFormat="1">
      <c r="A74" s="407" t="s">
        <v>951</v>
      </c>
      <c r="B74" s="1856" t="str">
        <f>VLOOKUP($A74,'12 - FINANCEIRA'!_xlnm.Print_Area,1,0)</f>
        <v>3.2</v>
      </c>
      <c r="C74" s="589" t="str">
        <f>VLOOKUP($A74,'12 - FINANCEIRA'!_xlnm.Print_Area,2,0)</f>
        <v>GALERIA GUARANHUS 1 E 2</v>
      </c>
      <c r="D74" s="590"/>
      <c r="E74" s="1856"/>
      <c r="F74" s="393"/>
      <c r="G74" s="396"/>
      <c r="H74" s="396">
        <f>SUM(H75:H87)</f>
        <v>13</v>
      </c>
      <c r="K74" s="373"/>
    </row>
    <row r="75" spans="1:11">
      <c r="A75" s="381" t="s">
        <v>953</v>
      </c>
      <c r="B75" s="1854">
        <f>VLOOKUP($A75,'12 - FINANCEIRA'!_xlnm.Print_Area,2,0)</f>
        <v>42047</v>
      </c>
      <c r="C75" s="1837" t="str">
        <f>VLOOKUP($A75,'12 - FINANCEIRA'!_xlnm.Print_Area,3,0)</f>
        <v>Elementos de madeira para sinalização - cavaletes</v>
      </c>
      <c r="D75" s="1838">
        <f>VLOOKUP($A75,'12 - FINANCEIRA'!_xlnm.Print_Area,10,0)</f>
        <v>23</v>
      </c>
      <c r="E75" s="1854" t="str">
        <f>VLOOKUP($A75,'12 - FINANCEIRA'!_xlnm.Print_Area,4,0)</f>
        <v>und</v>
      </c>
      <c r="G75" s="396" t="str">
        <f t="shared" si="14"/>
        <v>POSITIVO</v>
      </c>
      <c r="H75" s="396">
        <f t="shared" si="15"/>
        <v>1</v>
      </c>
    </row>
    <row r="76" spans="1:11">
      <c r="A76" s="381" t="s">
        <v>955</v>
      </c>
      <c r="B76" s="1855">
        <f>VLOOKUP($A76,'12 - FINANCEIRA'!_xlnm.Print_Area,2,0)</f>
        <v>40937</v>
      </c>
      <c r="C76" s="704" t="str">
        <f>VLOOKUP($A76,'12 - FINANCEIRA'!_xlnm.Print_Area,3,0)</f>
        <v>Sinalização vertical com chapa em esmalte sintético</v>
      </c>
      <c r="D76" s="705">
        <f>VLOOKUP($A76,'12 - FINANCEIRA'!_xlnm.Print_Area,10,0)</f>
        <v>12</v>
      </c>
      <c r="E76" s="1855" t="str">
        <f>VLOOKUP($A76,'12 - FINANCEIRA'!_xlnm.Print_Area,4,0)</f>
        <v>m²</v>
      </c>
      <c r="G76" s="396" t="str">
        <f t="shared" si="14"/>
        <v>POSITIVO</v>
      </c>
      <c r="H76" s="396">
        <f t="shared" si="15"/>
        <v>1</v>
      </c>
    </row>
    <row r="77" spans="1:11">
      <c r="A77" s="381" t="s">
        <v>957</v>
      </c>
      <c r="B77" s="1857">
        <f>VLOOKUP($A77,'12 - FINANCEIRA'!_xlnm.Print_Area,2,0)</f>
        <v>41359</v>
      </c>
      <c r="C77" s="586" t="str">
        <f>VLOOKUP($A77,'12 - FINANCEIRA'!_xlnm.Print_Area,3,0)</f>
        <v>Tela de proteção de segurança de PVC cor laranja com suporte para sinalização de obras</v>
      </c>
      <c r="D77" s="587">
        <f>VLOOKUP($A77,'12 - FINANCEIRA'!_xlnm.Print_Area,10,0)</f>
        <v>350</v>
      </c>
      <c r="E77" s="1857" t="str">
        <f>VLOOKUP($A77,'12 - FINANCEIRA'!_xlnm.Print_Area,4,0)</f>
        <v>m</v>
      </c>
      <c r="G77" s="396" t="str">
        <f t="shared" si="14"/>
        <v>POSITIVO</v>
      </c>
      <c r="H77" s="396">
        <f t="shared" si="15"/>
        <v>1</v>
      </c>
    </row>
    <row r="78" spans="1:11">
      <c r="A78" s="381" t="s">
        <v>959</v>
      </c>
      <c r="B78" s="1857">
        <f>VLOOKUP($A78,'12 - FINANCEIRA'!_xlnm.Print_Area,2,0)</f>
        <v>41040</v>
      </c>
      <c r="C78" s="586" t="str">
        <f>VLOOKUP($A78,'12 - FINANCEIRA'!_xlnm.Print_Area,3,0)</f>
        <v>Tela de aço soldada Telcon Q-138 ou similar, fornecimento e assentamento.</v>
      </c>
      <c r="D78" s="587">
        <f>VLOOKUP($A78,'12 - FINANCEIRA'!_xlnm.Print_Area,10,0)</f>
        <v>306.35500000000002</v>
      </c>
      <c r="E78" s="1857" t="str">
        <f>VLOOKUP($A78,'12 - FINANCEIRA'!_xlnm.Print_Area,4,0)</f>
        <v>m²</v>
      </c>
      <c r="G78" s="396" t="str">
        <f t="shared" si="14"/>
        <v>POSITIVO</v>
      </c>
      <c r="H78" s="396">
        <f t="shared" si="15"/>
        <v>1</v>
      </c>
    </row>
    <row r="79" spans="1:11">
      <c r="A79" s="381" t="s">
        <v>961</v>
      </c>
      <c r="B79" s="1854">
        <f>VLOOKUP($A79,'12 - FINANCEIRA'!_xlnm.Print_Area,2,0)</f>
        <v>41241</v>
      </c>
      <c r="C79" s="1837" t="str">
        <f>VLOOKUP($A79,'12 - FINANCEIRA'!_xlnm.Print_Area,3,0)</f>
        <v>Caixa ralo em blocos pré-moldados e grelha articulada em FFA em Vias Urbanas</v>
      </c>
      <c r="D79" s="1838">
        <f>VLOOKUP($A79,'12 - FINANCEIRA'!_xlnm.Print_Area,10,0)</f>
        <v>50</v>
      </c>
      <c r="E79" s="1854" t="str">
        <f>VLOOKUP($A79,'12 - FINANCEIRA'!_xlnm.Print_Area,4,0)</f>
        <v>und</v>
      </c>
      <c r="G79" s="396" t="str">
        <f t="shared" si="14"/>
        <v>POSITIVO</v>
      </c>
      <c r="H79" s="396">
        <f t="shared" si="15"/>
        <v>1</v>
      </c>
    </row>
    <row r="80" spans="1:11">
      <c r="A80" s="381" t="s">
        <v>963</v>
      </c>
      <c r="B80" s="1857">
        <f>VLOOKUP($A80,'12 - FINANCEIRA'!_xlnm.Print_Area,2,0)</f>
        <v>7260100010</v>
      </c>
      <c r="C80" s="586" t="str">
        <f>VLOOKUP($A80,'12 - FINANCEIRA'!_xlnm.Print_Area,3,0)</f>
        <v>Rede Esg PVC NBR 7362 150 até 1,25m s/Pav</v>
      </c>
      <c r="D80" s="587">
        <f>VLOOKUP($A80,'12 - FINANCEIRA'!_xlnm.Print_Area,10,0)</f>
        <v>303</v>
      </c>
      <c r="E80" s="1857" t="str">
        <f>VLOOKUP($A80,'12 - FINANCEIRA'!_xlnm.Print_Area,4,0)</f>
        <v>m</v>
      </c>
      <c r="G80" s="396" t="str">
        <f t="shared" si="14"/>
        <v>POSITIVO</v>
      </c>
      <c r="H80" s="396">
        <f t="shared" si="15"/>
        <v>1</v>
      </c>
    </row>
    <row r="81" spans="1:11">
      <c r="A81" s="381" t="s">
        <v>964</v>
      </c>
      <c r="B81" s="1857">
        <f>VLOOKUP($A81,'12 - FINANCEIRA'!_xlnm.Print_Area,2,0)</f>
        <v>7260100290</v>
      </c>
      <c r="C81" s="586" t="str">
        <f>VLOOKUP($A81,'12 - FINANCEIRA'!_xlnm.Print_Area,3,0)</f>
        <v>Rede Esg PVC NBR 7362 200 até 1,25m s/Pav</v>
      </c>
      <c r="D81" s="587">
        <f>VLOOKUP($A81,'12 - FINANCEIRA'!_xlnm.Print_Area,10,0)</f>
        <v>7</v>
      </c>
      <c r="E81" s="1857" t="str">
        <f>VLOOKUP($A81,'12 - FINANCEIRA'!_xlnm.Print_Area,4,0)</f>
        <v>m</v>
      </c>
      <c r="G81" s="396" t="str">
        <f t="shared" si="14"/>
        <v>POSITIVO</v>
      </c>
      <c r="H81" s="396">
        <f t="shared" si="15"/>
        <v>1</v>
      </c>
    </row>
    <row r="82" spans="1:11" s="375" customFormat="1">
      <c r="A82" s="381" t="s">
        <v>965</v>
      </c>
      <c r="B82" s="1857">
        <f>VLOOKUP($A82,'12 - FINANCEIRA'!_xlnm.Print_Area,2,0)</f>
        <v>7200100050</v>
      </c>
      <c r="C82" s="1867" t="str">
        <f>VLOOKUP($A82,'12 - FINANCEIRA'!_xlnm.Print_Area,3,0)</f>
        <v xml:space="preserve">Lig Pred Esg Curta C/Mat S/Pav H0,6A1,0M </v>
      </c>
      <c r="D82" s="587">
        <f>VLOOKUP($A82,'12 - FINANCEIRA'!_xlnm.Print_Area,10,0)</f>
        <v>47</v>
      </c>
      <c r="E82" s="1857" t="str">
        <f>VLOOKUP($A82,'12 - FINANCEIRA'!_xlnm.Print_Area,4,0)</f>
        <v>und</v>
      </c>
      <c r="F82" s="393"/>
      <c r="G82" s="396" t="str">
        <f t="shared" si="14"/>
        <v>POSITIVO</v>
      </c>
      <c r="H82" s="396">
        <f t="shared" si="15"/>
        <v>1</v>
      </c>
      <c r="K82" s="373"/>
    </row>
    <row r="83" spans="1:11">
      <c r="A83" s="381" t="s">
        <v>966</v>
      </c>
      <c r="B83" s="1854">
        <f>VLOOKUP($A83,'12 - FINANCEIRA'!_xlnm.Print_Area,2,0)</f>
        <v>7250100010</v>
      </c>
      <c r="C83" s="1837" t="str">
        <f>VLOOKUP($A83,'12 - FINANCEIRA'!_xlnm.Print_Area,3,0)</f>
        <v>Rede Água PVC PBA 15 Dn 50 s/Pav</v>
      </c>
      <c r="D83" s="1838">
        <f>VLOOKUP($A83,'12 - FINANCEIRA'!_xlnm.Print_Area,10,0)</f>
        <v>36</v>
      </c>
      <c r="E83" s="1854" t="str">
        <f>VLOOKUP($A83,'12 - FINANCEIRA'!_xlnm.Print_Area,4,0)</f>
        <v>m</v>
      </c>
      <c r="G83" s="396" t="str">
        <f t="shared" si="14"/>
        <v>POSITIVO</v>
      </c>
      <c r="H83" s="396">
        <f t="shared" si="15"/>
        <v>1</v>
      </c>
    </row>
    <row r="84" spans="1:11">
      <c r="A84" s="381" t="s">
        <v>967</v>
      </c>
      <c r="B84" s="1854">
        <f>VLOOKUP($A84,'12 - FINANCEIRA'!_xlnm.Print_Area,2,0)</f>
        <v>7200100090</v>
      </c>
      <c r="C84" s="1837" t="str">
        <f>VLOOKUP($A84,'12 - FINANCEIRA'!_xlnm.Print_Area,3,0)</f>
        <v>Lig Pred Água DN 20, C/ Colar, s/Pav</v>
      </c>
      <c r="D84" s="1838">
        <f>VLOOKUP($A84,'12 - FINANCEIRA'!_xlnm.Print_Area,10,0)</f>
        <v>38</v>
      </c>
      <c r="E84" s="1854" t="str">
        <f>VLOOKUP($A84,'12 - FINANCEIRA'!_xlnm.Print_Area,4,0)</f>
        <v>und</v>
      </c>
      <c r="G84" s="396" t="str">
        <f t="shared" si="14"/>
        <v>POSITIVO</v>
      </c>
      <c r="H84" s="396">
        <f t="shared" si="15"/>
        <v>1</v>
      </c>
    </row>
    <row r="85" spans="1:11" ht="25.5">
      <c r="A85" s="381" t="s">
        <v>968</v>
      </c>
      <c r="B85" s="1854">
        <f>VLOOKUP($A85,'12 - FINANCEIRA'!_xlnm.Print_Area,2,0)</f>
        <v>42499</v>
      </c>
      <c r="C85" s="1837" t="str">
        <f>VLOOKUP($A85,'12 - FINANCEIRA'!_xlnm.Print_Area,3,0)</f>
        <v>Pavimentação com blocos de concreto (35 MPa), esp.=08cm, sobre colchão de areia 5cm, inclusive fornecim. e transporte blocos e areia, em Vias Urbanas</v>
      </c>
      <c r="D85" s="1838">
        <f>VLOOKUP($A85,'12 - FINANCEIRA'!_xlnm.Print_Area,10,0)</f>
        <v>2310.56</v>
      </c>
      <c r="E85" s="1854" t="str">
        <f>VLOOKUP($A85,'12 - FINANCEIRA'!_xlnm.Print_Area,4,0)</f>
        <v>m²</v>
      </c>
      <c r="G85" s="396" t="str">
        <f t="shared" si="14"/>
        <v>POSITIVO</v>
      </c>
      <c r="H85" s="396">
        <f t="shared" si="15"/>
        <v>1</v>
      </c>
    </row>
    <row r="86" spans="1:11">
      <c r="A86" s="381" t="s">
        <v>970</v>
      </c>
      <c r="B86" s="1854">
        <f>VLOOKUP($A86,'12 - FINANCEIRA'!_xlnm.Print_Area,2,0)</f>
        <v>40895</v>
      </c>
      <c r="C86" s="1837" t="str">
        <f>VLOOKUP($A86,'12 - FINANCEIRA'!_xlnm.Print_Area,3,0)</f>
        <v>Meio fio (remoção e reassentamento), inclusive caiação</v>
      </c>
      <c r="D86" s="1838">
        <f>VLOOKUP($A86,'12 - FINANCEIRA'!_xlnm.Print_Area,10,0)</f>
        <v>110</v>
      </c>
      <c r="E86" s="1854" t="str">
        <f>VLOOKUP($A86,'12 - FINANCEIRA'!_xlnm.Print_Area,4,0)</f>
        <v>m</v>
      </c>
      <c r="G86" s="396" t="str">
        <f t="shared" si="14"/>
        <v>POSITIVO</v>
      </c>
      <c r="H86" s="396">
        <f t="shared" si="15"/>
        <v>1</v>
      </c>
    </row>
    <row r="87" spans="1:11">
      <c r="A87" s="381" t="s">
        <v>972</v>
      </c>
      <c r="B87" s="1854">
        <f>VLOOKUP($A87,'12 - FINANCEIRA'!_xlnm.Print_Area,2,0)</f>
        <v>40663</v>
      </c>
      <c r="C87" s="1837" t="str">
        <f>VLOOKUP($A87,'12 - FINANCEIRA'!_xlnm.Print_Area,3,0)</f>
        <v>Meio fio de concreto pré-moldado (12 x 30 x 15) cm, inclusive caiação e transporte do meio fio</v>
      </c>
      <c r="D87" s="1838">
        <f>VLOOKUP($A87,'12 - FINANCEIRA'!_xlnm.Print_Area,10,0)</f>
        <v>257.89999999999998</v>
      </c>
      <c r="E87" s="1854" t="str">
        <f>VLOOKUP($A87,'12 - FINANCEIRA'!_xlnm.Print_Area,4,0)</f>
        <v>m</v>
      </c>
      <c r="G87" s="396" t="str">
        <f t="shared" si="14"/>
        <v>POSITIVO</v>
      </c>
      <c r="H87" s="396">
        <f t="shared" si="15"/>
        <v>1</v>
      </c>
    </row>
    <row r="88" spans="1:11">
      <c r="B88" s="1858"/>
      <c r="C88" s="1834"/>
      <c r="D88" s="1835"/>
      <c r="E88" s="1858"/>
    </row>
    <row r="89" spans="1:11">
      <c r="B89" s="1858"/>
      <c r="C89" s="1834"/>
      <c r="D89" s="1835"/>
      <c r="E89" s="1858"/>
      <c r="G89" s="998"/>
      <c r="H89" s="998"/>
    </row>
    <row r="90" spans="1:11" ht="23.25" customHeight="1">
      <c r="B90" s="1858"/>
      <c r="C90" s="1862"/>
      <c r="D90" s="1835"/>
      <c r="E90" s="1858"/>
      <c r="G90" s="998"/>
      <c r="H90" s="998"/>
    </row>
    <row r="91" spans="1:11">
      <c r="C91" s="1862" t="s">
        <v>71</v>
      </c>
    </row>
    <row r="92" spans="1:11">
      <c r="C92" s="1863" t="s">
        <v>723</v>
      </c>
      <c r="G92" s="998"/>
      <c r="H92" s="998"/>
    </row>
    <row r="93" spans="1:11">
      <c r="C93" s="1864" t="s">
        <v>751</v>
      </c>
    </row>
    <row r="94" spans="1:11">
      <c r="C94" s="1864"/>
      <c r="G94" s="998"/>
      <c r="H94" s="998"/>
    </row>
    <row r="95" spans="1:11" ht="11.25" customHeight="1">
      <c r="C95" s="1862"/>
    </row>
    <row r="96" spans="1:11">
      <c r="C96" s="1862" t="s">
        <v>71</v>
      </c>
    </row>
    <row r="97" spans="3:3">
      <c r="C97" s="1863" t="s">
        <v>701</v>
      </c>
    </row>
    <row r="98" spans="3:3">
      <c r="C98" s="1864" t="s">
        <v>1090</v>
      </c>
    </row>
    <row r="104" spans="3:3">
      <c r="C104" s="1271"/>
    </row>
    <row r="215" spans="3:3">
      <c r="C215" s="373" t="s">
        <v>258</v>
      </c>
    </row>
    <row r="264" spans="18:18">
      <c r="R264" s="373">
        <f>SUM(R253:R263)</f>
        <v>0</v>
      </c>
    </row>
    <row r="351" spans="14:14">
      <c r="N351" s="373">
        <f>TRUNC(SUM(N344:N349),3)</f>
        <v>0</v>
      </c>
    </row>
    <row r="352" spans="14:14">
      <c r="N352" s="373">
        <f>+N351-D352</f>
        <v>0</v>
      </c>
    </row>
    <row r="422" spans="3:18" ht="33">
      <c r="C422" s="373" t="s">
        <v>259</v>
      </c>
      <c r="R422" s="373" t="s">
        <v>260</v>
      </c>
    </row>
    <row r="554" spans="10:14">
      <c r="J554" s="377"/>
      <c r="K554" s="377"/>
      <c r="L554" s="377"/>
      <c r="M554" s="378"/>
    </row>
    <row r="555" spans="10:14">
      <c r="N555" s="373">
        <f>TRUNC(SUM(N533:N553),3)</f>
        <v>0</v>
      </c>
    </row>
    <row r="570" spans="14:14">
      <c r="N570" s="373">
        <f>TRUNC(SUM(N562:N568),3)</f>
        <v>0</v>
      </c>
    </row>
    <row r="5064" spans="14:14">
      <c r="N5064" s="373">
        <v>4.0000000000000001E-3</v>
      </c>
    </row>
  </sheetData>
  <autoFilter ref="F14:H87" xr:uid="{00000000-0009-0000-0000-000004000000}">
    <filterColumn colId="2">
      <filters>
        <filter val="1"/>
        <filter val="13"/>
        <filter val="2"/>
        <filter val="28"/>
        <filter val="38"/>
        <filter val="6"/>
        <filter val="7"/>
      </filters>
    </filterColumn>
  </autoFilter>
  <mergeCells count="3">
    <mergeCell ref="B14:E14"/>
    <mergeCell ref="C2:C5"/>
    <mergeCell ref="F12:I12"/>
  </mergeCells>
  <printOptions horizontalCentered="1"/>
  <pageMargins left="0.7" right="0.7" top="0.75" bottom="0.75" header="0.3" footer="0.3"/>
  <pageSetup paperSize="9" scale="77" fitToHeight="0" orientation="portrait" r:id="rId1"/>
  <headerFooter scaleWithDoc="0" alignWithMargins="0"/>
  <ignoredErrors>
    <ignoredError sqref="C44 C57 C50"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Z604"/>
  <sheetViews>
    <sheetView showGridLines="0" showZeros="0" tabSelected="1" view="pageBreakPreview" zoomScale="85" zoomScaleNormal="90" zoomScaleSheetLayoutView="85" workbookViewId="0">
      <pane ySplit="14" topLeftCell="A15" activePane="bottomLeft" state="frozen"/>
      <selection activeCell="J22" sqref="J22:K23"/>
      <selection pane="bottomLeft" activeCell="M16" sqref="M16"/>
    </sheetView>
  </sheetViews>
  <sheetFormatPr defaultColWidth="9.140625" defaultRowHeight="14.25" outlineLevelRow="1"/>
  <cols>
    <col min="1" max="1" width="13.28515625" style="1239" customWidth="1"/>
    <col min="2" max="2" width="14" style="839" customWidth="1"/>
    <col min="3" max="3" width="76.140625" style="839" customWidth="1"/>
    <col min="4" max="4" width="5.42578125" style="839" customWidth="1"/>
    <col min="5" max="5" width="14.140625" style="839" customWidth="1"/>
    <col min="6" max="6" width="14.28515625" style="839" customWidth="1"/>
    <col min="7" max="7" width="15.28515625" style="839" customWidth="1"/>
    <col min="8" max="8" width="14.7109375" style="839" customWidth="1"/>
    <col min="9" max="9" width="14.85546875" style="839" customWidth="1"/>
    <col min="10" max="10" width="14.7109375" style="839" customWidth="1"/>
    <col min="11" max="11" width="14.42578125" style="839" customWidth="1"/>
    <col min="12" max="12" width="14.28515625" style="839" customWidth="1"/>
    <col min="13" max="13" width="14.85546875" style="839" customWidth="1"/>
    <col min="14" max="14" width="14.28515625" style="345" customWidth="1"/>
    <col min="15" max="15" width="10.5703125" style="839" bestFit="1" customWidth="1"/>
    <col min="16" max="16" width="12.7109375" style="839" bestFit="1" customWidth="1"/>
    <col min="17" max="17" width="10.140625" style="839" bestFit="1" customWidth="1"/>
    <col min="18" max="18" width="14" style="839" bestFit="1" customWidth="1"/>
    <col min="19" max="19" width="9.28515625" style="839" bestFit="1" customWidth="1"/>
    <col min="20" max="20" width="9.140625" style="839"/>
    <col min="21" max="26" width="9.28515625" style="839" bestFit="1" customWidth="1"/>
    <col min="27" max="16384" width="9.140625" style="839"/>
  </cols>
  <sheetData>
    <row r="1" spans="1:18">
      <c r="A1" s="591"/>
      <c r="B1" s="592"/>
      <c r="C1" s="592"/>
      <c r="D1" s="592"/>
      <c r="E1" s="592"/>
      <c r="F1" s="593"/>
      <c r="G1" s="594"/>
      <c r="H1" s="595"/>
      <c r="I1" s="596"/>
      <c r="J1" s="597"/>
      <c r="K1" s="598"/>
      <c r="L1" s="598"/>
      <c r="M1" s="599">
        <f>K91</f>
        <v>806270</v>
      </c>
      <c r="N1" s="702"/>
      <c r="O1" s="429"/>
      <c r="P1" s="429"/>
      <c r="Q1" s="429"/>
      <c r="R1" s="429"/>
    </row>
    <row r="2" spans="1:18" ht="19.5" customHeight="1">
      <c r="A2" s="2387" t="s">
        <v>375</v>
      </c>
      <c r="B2" s="2388"/>
      <c r="C2" s="2388"/>
      <c r="D2" s="2388"/>
      <c r="E2" s="2388"/>
      <c r="F2" s="2388"/>
      <c r="G2" s="2388"/>
      <c r="H2" s="2388"/>
      <c r="I2" s="2388"/>
      <c r="J2" s="2388"/>
      <c r="K2" s="2388"/>
      <c r="L2" s="2388"/>
      <c r="M2" s="2389"/>
      <c r="N2" s="1188"/>
      <c r="O2" s="8"/>
      <c r="P2" s="8"/>
      <c r="Q2" s="8"/>
      <c r="R2" s="8"/>
    </row>
    <row r="3" spans="1:18" ht="19.5" customHeight="1">
      <c r="A3" s="2390"/>
      <c r="B3" s="2391"/>
      <c r="C3" s="2391"/>
      <c r="D3" s="2391"/>
      <c r="E3" s="2391"/>
      <c r="F3" s="2391"/>
      <c r="G3" s="2391"/>
      <c r="H3" s="2391"/>
      <c r="I3" s="2391"/>
      <c r="J3" s="2391"/>
      <c r="K3" s="2391"/>
      <c r="L3" s="2391"/>
      <c r="M3" s="2392"/>
      <c r="N3" s="1188"/>
      <c r="O3" s="8"/>
      <c r="P3" s="8"/>
      <c r="Q3" s="8"/>
      <c r="R3" s="8"/>
    </row>
    <row r="4" spans="1:18" ht="19.5" customHeight="1">
      <c r="A4" s="2393"/>
      <c r="B4" s="2391"/>
      <c r="C4" s="2391"/>
      <c r="D4" s="2391"/>
      <c r="E4" s="2391"/>
      <c r="F4" s="2391"/>
      <c r="G4" s="2391"/>
      <c r="H4" s="2391"/>
      <c r="I4" s="2391"/>
      <c r="J4" s="2391"/>
      <c r="K4" s="2391"/>
      <c r="L4" s="2391"/>
      <c r="M4" s="2392"/>
      <c r="N4" s="1188"/>
      <c r="O4" s="8"/>
      <c r="P4" s="8"/>
      <c r="Q4" s="8"/>
      <c r="R4" s="8"/>
    </row>
    <row r="5" spans="1:18" ht="19.5" customHeight="1">
      <c r="A5" s="2394"/>
      <c r="B5" s="2395"/>
      <c r="C5" s="2395"/>
      <c r="D5" s="2395"/>
      <c r="E5" s="2395"/>
      <c r="F5" s="2395"/>
      <c r="G5" s="2395"/>
      <c r="H5" s="2395"/>
      <c r="I5" s="2395"/>
      <c r="J5" s="2395"/>
      <c r="K5" s="2395"/>
      <c r="L5" s="2395"/>
      <c r="M5" s="2396"/>
      <c r="N5" s="1188"/>
      <c r="O5" s="8"/>
      <c r="P5" s="8"/>
      <c r="Q5" s="8"/>
      <c r="R5" s="8"/>
    </row>
    <row r="6" spans="1:18" ht="15" customHeight="1">
      <c r="A6" s="2397" t="s">
        <v>9</v>
      </c>
      <c r="B6" s="2398"/>
      <c r="C6" s="2399"/>
      <c r="D6" s="2397" t="s">
        <v>404</v>
      </c>
      <c r="E6" s="2400"/>
      <c r="F6" s="2400"/>
      <c r="G6" s="2400"/>
      <c r="H6" s="2399"/>
      <c r="I6" s="2397" t="s">
        <v>194</v>
      </c>
      <c r="J6" s="2400"/>
      <c r="K6" s="2400"/>
      <c r="L6" s="2400"/>
      <c r="M6" s="2399"/>
      <c r="N6" s="1188"/>
      <c r="O6" s="8"/>
      <c r="P6" s="8"/>
      <c r="Q6" s="8"/>
      <c r="R6" s="8"/>
    </row>
    <row r="7" spans="1:18" ht="24.75" customHeight="1">
      <c r="A7" s="811" t="s">
        <v>405</v>
      </c>
      <c r="B7" s="2402" t="str">
        <f>'11 - RESUMO'!C8</f>
        <v>Rua Ceciliano Abel de Almeida e Rua Lourenço Sales, Nova Itaparica</v>
      </c>
      <c r="C7" s="2403"/>
      <c r="D7" s="813" t="s">
        <v>369</v>
      </c>
      <c r="E7" s="814"/>
      <c r="F7" s="815" t="str">
        <f>'00'!I22</f>
        <v>Andares Construções Civil Eireli EPP</v>
      </c>
      <c r="G7" s="430"/>
      <c r="H7" s="431"/>
      <c r="I7" s="813" t="s">
        <v>884</v>
      </c>
      <c r="J7" s="814"/>
      <c r="K7" s="1276"/>
      <c r="L7" s="430"/>
      <c r="M7" s="432"/>
      <c r="N7" s="1188"/>
      <c r="O7" s="8"/>
      <c r="P7" s="8"/>
      <c r="Q7" s="8"/>
    </row>
    <row r="8" spans="1:18" ht="15">
      <c r="A8" s="812" t="s">
        <v>79</v>
      </c>
      <c r="B8" s="808" t="s">
        <v>580</v>
      </c>
      <c r="D8" s="812" t="s">
        <v>370</v>
      </c>
      <c r="E8" s="434"/>
      <c r="F8" s="816" t="str">
        <f>'00'!I24</f>
        <v>052/2022</v>
      </c>
      <c r="G8" s="434"/>
      <c r="H8" s="435"/>
      <c r="I8" s="812" t="s">
        <v>755</v>
      </c>
      <c r="J8" s="434"/>
      <c r="K8" s="816"/>
      <c r="L8" s="434"/>
      <c r="M8" s="1189"/>
      <c r="N8" s="1188"/>
      <c r="O8" s="8"/>
      <c r="P8" s="8"/>
      <c r="Q8" s="8"/>
    </row>
    <row r="9" spans="1:18" ht="15">
      <c r="A9" s="812" t="s">
        <v>11</v>
      </c>
      <c r="B9" s="2404">
        <v>8</v>
      </c>
      <c r="C9" s="2405"/>
      <c r="D9" s="812" t="s">
        <v>406</v>
      </c>
      <c r="E9" s="434"/>
      <c r="F9" s="668">
        <f>'00'!AB23</f>
        <v>44784</v>
      </c>
      <c r="G9" s="434"/>
      <c r="H9" s="435"/>
      <c r="I9" s="812" t="s">
        <v>756</v>
      </c>
      <c r="J9" s="434"/>
      <c r="K9" s="668"/>
      <c r="L9" s="434"/>
      <c r="M9" s="1189"/>
      <c r="N9" s="1188"/>
      <c r="O9" s="8"/>
      <c r="P9" s="8"/>
      <c r="Q9" s="8"/>
    </row>
    <row r="10" spans="1:18" ht="15">
      <c r="A10" s="812" t="s">
        <v>12</v>
      </c>
      <c r="B10" s="809" t="s">
        <v>975</v>
      </c>
      <c r="D10" s="812" t="s">
        <v>407</v>
      </c>
      <c r="E10" s="434"/>
      <c r="F10" s="817">
        <f>'00'!AB25</f>
        <v>44819</v>
      </c>
      <c r="G10" s="434"/>
      <c r="H10" s="435"/>
      <c r="I10" s="812" t="s">
        <v>754</v>
      </c>
      <c r="J10" s="434"/>
      <c r="K10" s="668"/>
      <c r="L10" s="434"/>
      <c r="M10" s="1189"/>
      <c r="N10" s="1188"/>
      <c r="O10" s="8"/>
      <c r="P10" s="8"/>
      <c r="Q10" s="8"/>
    </row>
    <row r="11" spans="1:18" ht="6" customHeight="1">
      <c r="A11" s="1190"/>
      <c r="B11" s="438"/>
      <c r="C11" s="810"/>
      <c r="D11" s="436"/>
      <c r="E11" s="436"/>
      <c r="F11" s="807"/>
      <c r="G11" s="438"/>
      <c r="H11" s="600"/>
      <c r="I11" s="436"/>
      <c r="J11" s="436"/>
      <c r="K11" s="437"/>
      <c r="L11" s="438"/>
      <c r="M11" s="1191"/>
      <c r="N11" s="1188"/>
      <c r="O11" s="8"/>
      <c r="P11" s="8"/>
      <c r="Q11" s="8"/>
    </row>
    <row r="12" spans="1:18" ht="18">
      <c r="A12" s="2401" t="s">
        <v>408</v>
      </c>
      <c r="B12" s="2401"/>
      <c r="C12" s="2401"/>
      <c r="D12" s="2401"/>
      <c r="E12" s="2401"/>
      <c r="F12" s="2401"/>
      <c r="G12" s="2401"/>
      <c r="H12" s="2401"/>
      <c r="I12" s="2401"/>
      <c r="J12" s="2401"/>
      <c r="K12" s="2401"/>
      <c r="L12" s="2401"/>
      <c r="M12" s="2401"/>
      <c r="N12" s="1188"/>
      <c r="O12" s="8"/>
      <c r="P12" s="8"/>
      <c r="Q12" s="8"/>
      <c r="R12" s="8"/>
    </row>
    <row r="13" spans="1:18" ht="15.75" customHeight="1">
      <c r="A13" s="2414" t="s">
        <v>0</v>
      </c>
      <c r="B13" s="2414"/>
      <c r="C13" s="2415" t="s">
        <v>409</v>
      </c>
      <c r="D13" s="2415" t="s">
        <v>410</v>
      </c>
      <c r="E13" s="2406" t="s">
        <v>411</v>
      </c>
      <c r="F13" s="2406"/>
      <c r="G13" s="2406"/>
      <c r="H13" s="2409" t="s">
        <v>4</v>
      </c>
      <c r="I13" s="2409"/>
      <c r="J13" s="2410">
        <f>B9</f>
        <v>8</v>
      </c>
      <c r="K13" s="2410"/>
      <c r="L13" s="2409" t="s">
        <v>257</v>
      </c>
      <c r="M13" s="2409"/>
      <c r="N13" s="747"/>
      <c r="O13" s="439"/>
      <c r="P13" s="439"/>
      <c r="Q13" s="773"/>
      <c r="R13" s="439"/>
    </row>
    <row r="14" spans="1:18" ht="15.75" customHeight="1">
      <c r="A14" s="440" t="s">
        <v>412</v>
      </c>
      <c r="B14" s="1173" t="s">
        <v>1</v>
      </c>
      <c r="C14" s="2415"/>
      <c r="D14" s="2415"/>
      <c r="E14" s="1174" t="s">
        <v>413</v>
      </c>
      <c r="F14" s="1174" t="s">
        <v>2</v>
      </c>
      <c r="G14" s="441" t="s">
        <v>3</v>
      </c>
      <c r="H14" s="1174" t="s">
        <v>2</v>
      </c>
      <c r="I14" s="441" t="s">
        <v>3</v>
      </c>
      <c r="J14" s="1174" t="s">
        <v>2</v>
      </c>
      <c r="K14" s="1174" t="s">
        <v>3</v>
      </c>
      <c r="L14" s="1174" t="s">
        <v>2</v>
      </c>
      <c r="M14" s="441" t="s">
        <v>3</v>
      </c>
      <c r="N14" s="747"/>
      <c r="O14" s="439"/>
      <c r="P14" s="439"/>
      <c r="Q14" s="773"/>
      <c r="R14" s="439"/>
    </row>
    <row r="15" spans="1:18" ht="19.899999999999999" customHeight="1">
      <c r="A15" s="446" t="s">
        <v>368</v>
      </c>
      <c r="B15" s="442" t="s">
        <v>422</v>
      </c>
      <c r="C15" s="442"/>
      <c r="D15" s="442"/>
      <c r="E15" s="442"/>
      <c r="F15" s="442"/>
      <c r="G15" s="443"/>
      <c r="H15" s="442"/>
      <c r="I15" s="443"/>
      <c r="J15" s="442"/>
      <c r="K15" s="1268"/>
      <c r="L15" s="442"/>
      <c r="M15" s="444"/>
      <c r="N15" s="748"/>
      <c r="O15" s="445"/>
      <c r="P15" s="445"/>
      <c r="Q15" s="445"/>
      <c r="R15" s="445"/>
    </row>
    <row r="16" spans="1:18" ht="19.899999999999999" customHeight="1">
      <c r="A16" s="447" t="s">
        <v>381</v>
      </c>
      <c r="B16" s="1192" t="s">
        <v>699</v>
      </c>
      <c r="C16" s="448"/>
      <c r="D16" s="448"/>
      <c r="E16" s="448"/>
      <c r="F16" s="448"/>
      <c r="G16" s="449">
        <f>SUBTOTAL(9,G17:G23)</f>
        <v>44847.35</v>
      </c>
      <c r="H16" s="448"/>
      <c r="I16" s="449">
        <f>SUBTOTAL(9,I17:I23)</f>
        <v>37145.9</v>
      </c>
      <c r="J16" s="448"/>
      <c r="K16" s="456">
        <f>SUBTOTAL(9,K17:K23)</f>
        <v>985.47000000000025</v>
      </c>
      <c r="L16" s="448"/>
      <c r="M16" s="450">
        <f>SUBTOTAL(9,M17:M23)</f>
        <v>38131.370000000003</v>
      </c>
      <c r="N16" s="748"/>
      <c r="O16" s="445"/>
      <c r="P16" s="445"/>
      <c r="Q16" s="445"/>
      <c r="R16" s="445"/>
    </row>
    <row r="17" spans="1:18" ht="43.5" customHeight="1" outlineLevel="1">
      <c r="A17" s="1193" t="s">
        <v>376</v>
      </c>
      <c r="B17" s="1175" t="s">
        <v>434</v>
      </c>
      <c r="C17" s="1176" t="s">
        <v>425</v>
      </c>
      <c r="D17" s="1194" t="s">
        <v>8</v>
      </c>
      <c r="E17" s="1195">
        <v>38.51</v>
      </c>
      <c r="F17" s="1196">
        <v>25</v>
      </c>
      <c r="G17" s="1177">
        <f t="shared" ref="G17:G23" si="0">TRUNC(F17*E17,2)</f>
        <v>962.75</v>
      </c>
      <c r="H17" s="1197">
        <v>25</v>
      </c>
      <c r="I17" s="1177">
        <f>ROUND((E17*H17),2)</f>
        <v>962.75</v>
      </c>
      <c r="J17" s="1197">
        <f>VLOOKUP(A17,'13 - MEMÓRIA'!$A$1:$R$873,18,FALSE)</f>
        <v>0</v>
      </c>
      <c r="K17" s="1221">
        <f>M17-I17</f>
        <v>0</v>
      </c>
      <c r="L17" s="1197">
        <f>H17+J17</f>
        <v>25</v>
      </c>
      <c r="M17" s="1177">
        <f>ROUND((E17*L17),2)</f>
        <v>962.75</v>
      </c>
      <c r="N17" s="702"/>
      <c r="O17" s="429"/>
      <c r="P17" s="429"/>
      <c r="Q17" s="429"/>
      <c r="R17" s="429"/>
    </row>
    <row r="18" spans="1:18" ht="40.5" customHeight="1" outlineLevel="1">
      <c r="A18" s="1198" t="s">
        <v>377</v>
      </c>
      <c r="B18" s="1178" t="s">
        <v>435</v>
      </c>
      <c r="C18" s="1179" t="s">
        <v>426</v>
      </c>
      <c r="D18" s="1199" t="s">
        <v>8</v>
      </c>
      <c r="E18" s="1200">
        <v>319.95</v>
      </c>
      <c r="F18" s="1201">
        <v>25</v>
      </c>
      <c r="G18" s="1180">
        <f t="shared" si="0"/>
        <v>7998.75</v>
      </c>
      <c r="H18" s="1202">
        <v>25</v>
      </c>
      <c r="I18" s="1180">
        <f t="shared" ref="I18:I29" si="1">ROUND((E18*H18),2)</f>
        <v>7998.75</v>
      </c>
      <c r="J18" s="1202">
        <f>VLOOKUP(A18,'13 - MEMÓRIA'!$A$1:$R$873,18,FALSE)</f>
        <v>0</v>
      </c>
      <c r="K18" s="1203">
        <f>M18-I18</f>
        <v>0</v>
      </c>
      <c r="L18" s="1202">
        <f t="shared" ref="L18:L23" si="2">H18+J18</f>
        <v>25</v>
      </c>
      <c r="M18" s="1180">
        <f t="shared" ref="M18:M23" si="3">ROUND((E18*L18),2)</f>
        <v>7998.75</v>
      </c>
      <c r="N18" s="702"/>
      <c r="O18" s="429"/>
      <c r="P18" s="429"/>
      <c r="Q18" s="429"/>
      <c r="R18" s="429"/>
    </row>
    <row r="19" spans="1:18" ht="46.5" customHeight="1" outlineLevel="1">
      <c r="A19" s="1198" t="s">
        <v>414</v>
      </c>
      <c r="B19" s="1178" t="s">
        <v>436</v>
      </c>
      <c r="C19" s="1179" t="s">
        <v>427</v>
      </c>
      <c r="D19" s="1199" t="s">
        <v>8</v>
      </c>
      <c r="E19" s="1200">
        <v>456.74</v>
      </c>
      <c r="F19" s="1201">
        <v>20</v>
      </c>
      <c r="G19" s="1180">
        <f t="shared" si="0"/>
        <v>9134.7999999999993</v>
      </c>
      <c r="H19" s="1202">
        <v>20</v>
      </c>
      <c r="I19" s="1180">
        <f t="shared" si="1"/>
        <v>9134.7999999999993</v>
      </c>
      <c r="J19" s="1202">
        <f>VLOOKUP(A19,'13 - MEMÓRIA'!$A$1:$R$873,18,FALSE)</f>
        <v>0</v>
      </c>
      <c r="K19" s="1203">
        <f t="shared" ref="K19:K27" si="4">M19-I19</f>
        <v>0</v>
      </c>
      <c r="L19" s="1202">
        <f t="shared" si="2"/>
        <v>20</v>
      </c>
      <c r="M19" s="1180">
        <f t="shared" si="3"/>
        <v>9134.7999999999993</v>
      </c>
      <c r="N19" s="702"/>
      <c r="O19" s="429"/>
      <c r="P19" s="429"/>
      <c r="Q19" s="429"/>
      <c r="R19" s="429"/>
    </row>
    <row r="20" spans="1:18" ht="40.5" customHeight="1" outlineLevel="1">
      <c r="A20" s="1204" t="s">
        <v>415</v>
      </c>
      <c r="B20" s="451" t="s">
        <v>437</v>
      </c>
      <c r="C20" s="452" t="s">
        <v>428</v>
      </c>
      <c r="D20" s="1205" t="s">
        <v>101</v>
      </c>
      <c r="E20" s="1206">
        <v>1869.98</v>
      </c>
      <c r="F20" s="1207">
        <v>1</v>
      </c>
      <c r="G20" s="453">
        <f t="shared" si="0"/>
        <v>1869.98</v>
      </c>
      <c r="H20" s="1208">
        <v>1</v>
      </c>
      <c r="I20" s="1180">
        <f t="shared" si="1"/>
        <v>1869.98</v>
      </c>
      <c r="J20" s="1208">
        <f>VLOOKUP(A20,'13 - MEMÓRIA'!$A$1:$R$873,18,FALSE)</f>
        <v>0</v>
      </c>
      <c r="K20" s="1209">
        <f t="shared" si="4"/>
        <v>0</v>
      </c>
      <c r="L20" s="1208">
        <f t="shared" si="2"/>
        <v>1</v>
      </c>
      <c r="M20" s="453">
        <f t="shared" si="3"/>
        <v>1869.98</v>
      </c>
      <c r="N20" s="702"/>
      <c r="O20" s="429"/>
      <c r="P20" s="429"/>
      <c r="Q20" s="429"/>
      <c r="R20" s="429"/>
    </row>
    <row r="21" spans="1:18" ht="43.5" customHeight="1" outlineLevel="1">
      <c r="A21" s="1204" t="s">
        <v>416</v>
      </c>
      <c r="B21" s="451" t="s">
        <v>438</v>
      </c>
      <c r="C21" s="452" t="s">
        <v>653</v>
      </c>
      <c r="D21" s="1205" t="s">
        <v>8</v>
      </c>
      <c r="E21" s="1206">
        <v>109.81</v>
      </c>
      <c r="F21" s="1207">
        <v>200</v>
      </c>
      <c r="G21" s="453">
        <f t="shared" si="0"/>
        <v>21962</v>
      </c>
      <c r="H21" s="1208">
        <v>138.84</v>
      </c>
      <c r="I21" s="453">
        <f t="shared" si="1"/>
        <v>15246.02</v>
      </c>
      <c r="J21" s="1208">
        <f>VLOOKUP(A21,'13 - MEMÓRIA'!$A$1:$R$873,18,FALSE)</f>
        <v>0</v>
      </c>
      <c r="K21" s="1209">
        <f>M21-I21</f>
        <v>0</v>
      </c>
      <c r="L21" s="1208">
        <f t="shared" si="2"/>
        <v>138.84</v>
      </c>
      <c r="M21" s="453">
        <f>ROUND((E21*L21),2)</f>
        <v>15246.02</v>
      </c>
      <c r="N21" s="702"/>
      <c r="O21" s="429"/>
      <c r="P21" s="429"/>
      <c r="Q21" s="429"/>
      <c r="R21" s="429"/>
    </row>
    <row r="22" spans="1:18" ht="34.5" customHeight="1" outlineLevel="1">
      <c r="A22" s="1210" t="s">
        <v>423</v>
      </c>
      <c r="B22" s="1183" t="s">
        <v>439</v>
      </c>
      <c r="C22" s="460" t="s">
        <v>429</v>
      </c>
      <c r="D22" s="1211" t="s">
        <v>7</v>
      </c>
      <c r="E22" s="1212">
        <v>241.7</v>
      </c>
      <c r="F22" s="1213">
        <v>8.9600000000000009</v>
      </c>
      <c r="G22" s="462">
        <f t="shared" si="0"/>
        <v>2165.63</v>
      </c>
      <c r="H22" s="1214">
        <v>8</v>
      </c>
      <c r="I22" s="453">
        <f t="shared" si="1"/>
        <v>1933.6</v>
      </c>
      <c r="J22" s="1214">
        <f>VLOOKUP(A22,'13 - MEMÓRIA'!$A$1:$R$873,18,FALSE)</f>
        <v>0.96000000000000085</v>
      </c>
      <c r="K22" s="1215">
        <f>M22-I22</f>
        <v>232.0300000000002</v>
      </c>
      <c r="L22" s="1214">
        <f t="shared" si="2"/>
        <v>8.9600000000000009</v>
      </c>
      <c r="M22" s="462">
        <f>ROUND((E22*L22),2)</f>
        <v>2165.63</v>
      </c>
      <c r="N22" s="702"/>
      <c r="O22" s="429"/>
      <c r="P22" s="429"/>
      <c r="Q22" s="429"/>
      <c r="R22" s="429"/>
    </row>
    <row r="23" spans="1:18" ht="34.5" customHeight="1" outlineLevel="1">
      <c r="A23" s="1216" t="s">
        <v>424</v>
      </c>
      <c r="B23" s="1182" t="s">
        <v>440</v>
      </c>
      <c r="C23" s="687" t="s">
        <v>430</v>
      </c>
      <c r="D23" s="1217" t="s">
        <v>101</v>
      </c>
      <c r="E23" s="1218">
        <v>753.44</v>
      </c>
      <c r="F23" s="1219">
        <v>1</v>
      </c>
      <c r="G23" s="684">
        <f t="shared" si="0"/>
        <v>753.44</v>
      </c>
      <c r="H23" s="1220">
        <v>0</v>
      </c>
      <c r="I23" s="684">
        <f t="shared" si="1"/>
        <v>0</v>
      </c>
      <c r="J23" s="1220">
        <f>VLOOKUP(A23,'13 - MEMÓRIA'!$A$1:$R$873,18,FALSE)</f>
        <v>1</v>
      </c>
      <c r="K23" s="1221">
        <f t="shared" si="4"/>
        <v>753.44</v>
      </c>
      <c r="L23" s="1220">
        <f t="shared" si="2"/>
        <v>1</v>
      </c>
      <c r="M23" s="684">
        <f t="shared" si="3"/>
        <v>753.44</v>
      </c>
      <c r="N23" s="702"/>
      <c r="O23" s="429"/>
      <c r="P23" s="429"/>
      <c r="Q23" s="429"/>
      <c r="R23" s="429"/>
    </row>
    <row r="24" spans="1:18" ht="19.899999999999999" customHeight="1">
      <c r="A24" s="1185" t="s">
        <v>378</v>
      </c>
      <c r="B24" s="1192" t="s">
        <v>698</v>
      </c>
      <c r="C24" s="455"/>
      <c r="D24" s="455"/>
      <c r="E24" s="455"/>
      <c r="F24" s="455"/>
      <c r="G24" s="456">
        <f>SUBTOTAL(9,G25:G29)</f>
        <v>24203.68</v>
      </c>
      <c r="H24" s="455"/>
      <c r="I24" s="456">
        <f>SUBTOTAL(9,I25:I29)</f>
        <v>21942.98</v>
      </c>
      <c r="J24" s="455"/>
      <c r="K24" s="456">
        <f>SUBTOTAL(9,K25:K29)</f>
        <v>2260.6999999999998</v>
      </c>
      <c r="L24" s="455"/>
      <c r="M24" s="457">
        <f>SUBTOTAL(9,M25:M29)</f>
        <v>24203.68</v>
      </c>
      <c r="N24" s="748"/>
      <c r="O24" s="445"/>
      <c r="P24" s="445"/>
      <c r="Q24" s="445"/>
      <c r="R24" s="445"/>
    </row>
    <row r="25" spans="1:18" ht="29.25" customHeight="1" outlineLevel="1">
      <c r="A25" s="685" t="s">
        <v>379</v>
      </c>
      <c r="B25" s="686" t="s">
        <v>441</v>
      </c>
      <c r="C25" s="687" t="s">
        <v>654</v>
      </c>
      <c r="D25" s="1181" t="s">
        <v>101</v>
      </c>
      <c r="E25" s="1218">
        <v>1130.3499999999999</v>
      </c>
      <c r="F25" s="1219">
        <v>4</v>
      </c>
      <c r="G25" s="684">
        <f t="shared" ref="G25:G28" si="5">TRUNC(F25*E25,2)</f>
        <v>4521.3999999999996</v>
      </c>
      <c r="H25" s="1220">
        <v>2</v>
      </c>
      <c r="I25" s="684">
        <f t="shared" si="1"/>
        <v>2260.6999999999998</v>
      </c>
      <c r="J25" s="1220">
        <f>VLOOKUP(A25,'13 - MEMÓRIA'!$A$1:$R$873,18,FALSE)</f>
        <v>2</v>
      </c>
      <c r="K25" s="1221">
        <f t="shared" si="4"/>
        <v>2260.6999999999998</v>
      </c>
      <c r="L25" s="1220">
        <f t="shared" ref="L25:L29" si="6">H25+J25</f>
        <v>4</v>
      </c>
      <c r="M25" s="684">
        <f t="shared" ref="M25:M27" si="7">ROUND((E25*L25),2)</f>
        <v>4521.3999999999996</v>
      </c>
      <c r="N25" s="702"/>
      <c r="O25" s="429"/>
      <c r="P25" s="429"/>
      <c r="Q25" s="429"/>
      <c r="R25" s="429"/>
    </row>
    <row r="26" spans="1:18" ht="44.25" customHeight="1" outlineLevel="1">
      <c r="A26" s="463" t="s">
        <v>417</v>
      </c>
      <c r="B26" s="464" t="s">
        <v>442</v>
      </c>
      <c r="C26" s="452" t="s">
        <v>753</v>
      </c>
      <c r="D26" s="465" t="s">
        <v>711</v>
      </c>
      <c r="E26" s="1206">
        <v>904.28</v>
      </c>
      <c r="F26" s="1207">
        <v>6</v>
      </c>
      <c r="G26" s="453">
        <f t="shared" si="5"/>
        <v>5425.68</v>
      </c>
      <c r="H26" s="1208">
        <v>6</v>
      </c>
      <c r="I26" s="453">
        <f t="shared" si="1"/>
        <v>5425.68</v>
      </c>
      <c r="J26" s="1208">
        <f>VLOOKUP(A26,'13 - MEMÓRIA'!$A$1:$R$873,18,FALSE)</f>
        <v>0</v>
      </c>
      <c r="K26" s="1209">
        <f t="shared" si="4"/>
        <v>0</v>
      </c>
      <c r="L26" s="1208">
        <f t="shared" si="6"/>
        <v>6</v>
      </c>
      <c r="M26" s="453">
        <f t="shared" si="7"/>
        <v>5425.68</v>
      </c>
      <c r="N26" s="702"/>
      <c r="O26" s="429"/>
      <c r="P26" s="429"/>
      <c r="Q26" s="429"/>
      <c r="R26" s="429"/>
    </row>
    <row r="27" spans="1:18" ht="45.75" customHeight="1" outlineLevel="1">
      <c r="A27" s="463" t="s">
        <v>431</v>
      </c>
      <c r="B27" s="464" t="s">
        <v>443</v>
      </c>
      <c r="C27" s="452" t="s">
        <v>446</v>
      </c>
      <c r="D27" s="465" t="s">
        <v>711</v>
      </c>
      <c r="E27" s="1206">
        <v>924.95</v>
      </c>
      <c r="F27" s="1207">
        <v>6</v>
      </c>
      <c r="G27" s="453">
        <f t="shared" si="5"/>
        <v>5549.7</v>
      </c>
      <c r="H27" s="1208">
        <v>6</v>
      </c>
      <c r="I27" s="453">
        <f t="shared" si="1"/>
        <v>5549.7</v>
      </c>
      <c r="J27" s="1208">
        <f>VLOOKUP(A27,'13 - MEMÓRIA'!$A$1:$R$873,18,FALSE)</f>
        <v>0</v>
      </c>
      <c r="K27" s="1209">
        <f t="shared" si="4"/>
        <v>0</v>
      </c>
      <c r="L27" s="1208">
        <f t="shared" si="6"/>
        <v>6</v>
      </c>
      <c r="M27" s="453">
        <f t="shared" si="7"/>
        <v>5549.7</v>
      </c>
      <c r="N27" s="702"/>
      <c r="O27" s="429"/>
      <c r="P27" s="429"/>
      <c r="Q27" s="429"/>
      <c r="R27" s="429"/>
    </row>
    <row r="28" spans="1:18" ht="55.5" customHeight="1" outlineLevel="1">
      <c r="A28" s="463" t="s">
        <v>432</v>
      </c>
      <c r="B28" s="464" t="s">
        <v>444</v>
      </c>
      <c r="C28" s="452" t="s">
        <v>447</v>
      </c>
      <c r="D28" s="465" t="s">
        <v>711</v>
      </c>
      <c r="E28" s="1206">
        <v>912.89</v>
      </c>
      <c r="F28" s="1207">
        <v>6</v>
      </c>
      <c r="G28" s="453">
        <f t="shared" si="5"/>
        <v>5477.34</v>
      </c>
      <c r="H28" s="1208">
        <v>6</v>
      </c>
      <c r="I28" s="453">
        <f t="shared" si="1"/>
        <v>5477.34</v>
      </c>
      <c r="J28" s="1208">
        <f>VLOOKUP(A28,'13 - MEMÓRIA'!$A$1:$R$873,18,FALSE)</f>
        <v>0</v>
      </c>
      <c r="K28" s="1209">
        <f>M28-I28</f>
        <v>0</v>
      </c>
      <c r="L28" s="1208">
        <f t="shared" si="6"/>
        <v>6</v>
      </c>
      <c r="M28" s="453">
        <f>ROUND((E28*L28),2)</f>
        <v>5477.34</v>
      </c>
      <c r="N28" s="702"/>
      <c r="O28" s="429"/>
      <c r="P28" s="429"/>
      <c r="Q28" s="429"/>
      <c r="R28" s="429"/>
    </row>
    <row r="29" spans="1:18" ht="48" customHeight="1" outlineLevel="1">
      <c r="A29" s="685" t="s">
        <v>433</v>
      </c>
      <c r="B29" s="686" t="s">
        <v>445</v>
      </c>
      <c r="C29" s="687" t="s">
        <v>448</v>
      </c>
      <c r="D29" s="1181" t="s">
        <v>711</v>
      </c>
      <c r="E29" s="1222">
        <v>538.26</v>
      </c>
      <c r="F29" s="1223">
        <v>6</v>
      </c>
      <c r="G29" s="1184">
        <f>TRUNC(F29*E29,2)</f>
        <v>3229.56</v>
      </c>
      <c r="H29" s="1224">
        <v>6</v>
      </c>
      <c r="I29" s="453">
        <f t="shared" si="1"/>
        <v>3229.56</v>
      </c>
      <c r="J29" s="1224">
        <f>VLOOKUP(A29,'13 - MEMÓRIA'!$A$1:$R$873,18,FALSE)</f>
        <v>0</v>
      </c>
      <c r="K29" s="1221">
        <f>M29-I29</f>
        <v>0</v>
      </c>
      <c r="L29" s="1224">
        <f t="shared" si="6"/>
        <v>6</v>
      </c>
      <c r="M29" s="1184">
        <f>ROUND((E29*L29),2)</f>
        <v>3229.56</v>
      </c>
      <c r="N29" s="702"/>
      <c r="O29" s="429"/>
      <c r="P29" s="429"/>
      <c r="Q29" s="429"/>
      <c r="R29" s="429"/>
    </row>
    <row r="30" spans="1:18" ht="19.899999999999999" customHeight="1">
      <c r="A30" s="1186"/>
      <c r="B30" s="1187"/>
      <c r="C30" s="2411" t="s">
        <v>449</v>
      </c>
      <c r="D30" s="2412"/>
      <c r="E30" s="2412"/>
      <c r="F30" s="2413"/>
      <c r="G30" s="1225">
        <f>SUBTOTAL(9,$G$16:$G$29)</f>
        <v>69051.03</v>
      </c>
      <c r="H30" s="1232"/>
      <c r="I30" s="466">
        <f>SUBTOTAL(9,$I$16:$I$29)</f>
        <v>59088.87999999999</v>
      </c>
      <c r="J30" s="1232"/>
      <c r="K30" s="466">
        <f>SUBTOTAL(9,$K$16:$K$29)</f>
        <v>3246.17</v>
      </c>
      <c r="L30" s="1232"/>
      <c r="M30" s="466">
        <f>SUBTOTAL(9,$M$16:$M$29)</f>
        <v>62335.05</v>
      </c>
      <c r="N30" s="990"/>
      <c r="O30" s="429"/>
      <c r="P30" s="429"/>
      <c r="Q30" s="429"/>
      <c r="R30" s="429"/>
    </row>
    <row r="31" spans="1:18" ht="19.899999999999999" customHeight="1">
      <c r="A31" s="551">
        <v>2</v>
      </c>
      <c r="B31" s="442" t="s">
        <v>727</v>
      </c>
      <c r="C31" s="442"/>
      <c r="D31" s="442"/>
      <c r="E31" s="442"/>
      <c r="F31" s="442"/>
      <c r="G31" s="443"/>
      <c r="H31" s="442"/>
      <c r="I31" s="443"/>
      <c r="J31" s="442"/>
      <c r="K31" s="442"/>
      <c r="L31" s="442"/>
      <c r="M31" s="444"/>
      <c r="O31" s="445"/>
      <c r="P31" s="445"/>
      <c r="Q31" s="445"/>
      <c r="R31" s="445"/>
    </row>
    <row r="32" spans="1:18" ht="19.899999999999999" customHeight="1">
      <c r="A32" s="454" t="s">
        <v>380</v>
      </c>
      <c r="B32" s="1192" t="s">
        <v>451</v>
      </c>
      <c r="C32" s="455"/>
      <c r="D32" s="455"/>
      <c r="E32" s="455"/>
      <c r="F32" s="455"/>
      <c r="G32" s="456">
        <f>SUBTOTAL(9,G33:G44)</f>
        <v>618286.21730000002</v>
      </c>
      <c r="H32" s="455"/>
      <c r="I32" s="456">
        <f>SUBTOTAL(9,I33:I44)</f>
        <v>193507.28999999998</v>
      </c>
      <c r="J32" s="455"/>
      <c r="K32" s="868">
        <f>SUBTOTAL(9,K33:K44)</f>
        <v>261262.15000000002</v>
      </c>
      <c r="L32" s="455"/>
      <c r="M32" s="457">
        <f>SUBTOTAL(9,M33:M44)</f>
        <v>454769.44</v>
      </c>
      <c r="N32" s="839"/>
      <c r="O32" s="445"/>
      <c r="P32" s="445"/>
      <c r="Q32" s="445"/>
      <c r="R32" s="445"/>
    </row>
    <row r="33" spans="1:18" ht="25.5" customHeight="1" outlineLevel="1">
      <c r="A33" s="458" t="s">
        <v>452</v>
      </c>
      <c r="B33" s="459" t="s">
        <v>519</v>
      </c>
      <c r="C33" s="460" t="s">
        <v>520</v>
      </c>
      <c r="D33" s="461" t="s">
        <v>5</v>
      </c>
      <c r="E33" s="1226">
        <v>6.58</v>
      </c>
      <c r="F33" s="1227">
        <v>6496.78</v>
      </c>
      <c r="G33" s="555">
        <f>E33*F33</f>
        <v>42748.812399999995</v>
      </c>
      <c r="H33" s="1228">
        <v>4288.6689999999999</v>
      </c>
      <c r="I33" s="555">
        <f t="shared" ref="I33:I50" si="8">ROUND((E33*H33),2)</f>
        <v>28219.439999999999</v>
      </c>
      <c r="J33" s="1228">
        <f>VLOOKUP(A33,'13 - MEMÓRIA'!$A$1:$R$873,18,FALSE)</f>
        <v>1780.442</v>
      </c>
      <c r="K33" s="1215">
        <f>M33-I33</f>
        <v>11715.310000000001</v>
      </c>
      <c r="L33" s="1228">
        <f t="shared" ref="L33:L44" si="9">H33+J33</f>
        <v>6069.1109999999999</v>
      </c>
      <c r="M33" s="555">
        <f>ROUND((E33*L33),2)</f>
        <v>39934.75</v>
      </c>
      <c r="N33" s="839"/>
      <c r="O33" s="429"/>
      <c r="P33" s="429"/>
      <c r="Q33" s="429"/>
      <c r="R33" s="429"/>
    </row>
    <row r="34" spans="1:18" ht="25.5" customHeight="1" outlineLevel="1">
      <c r="A34" s="463" t="s">
        <v>453</v>
      </c>
      <c r="B34" s="464" t="s">
        <v>655</v>
      </c>
      <c r="C34" s="452" t="s">
        <v>660</v>
      </c>
      <c r="D34" s="465" t="s">
        <v>5</v>
      </c>
      <c r="E34" s="1206">
        <v>96.89</v>
      </c>
      <c r="F34" s="1207">
        <v>1746.28</v>
      </c>
      <c r="G34" s="453">
        <f t="shared" ref="G34:G50" si="10">E34*F34</f>
        <v>169197.0692</v>
      </c>
      <c r="H34" s="1208">
        <v>599.67999999999995</v>
      </c>
      <c r="I34" s="555">
        <f t="shared" si="8"/>
        <v>58103</v>
      </c>
      <c r="J34" s="1208">
        <f>VLOOKUP(A34,'13 - MEMÓRIA'!$A$1:$R$873,18,FALSE)</f>
        <v>1065.2430000000004</v>
      </c>
      <c r="K34" s="1229">
        <f t="shared" ref="K34:K44" si="11">M34-I34</f>
        <v>103211.39000000001</v>
      </c>
      <c r="L34" s="1208">
        <f t="shared" si="9"/>
        <v>1664.9230000000002</v>
      </c>
      <c r="M34" s="453">
        <f t="shared" ref="M34:M44" si="12">ROUND((E34*L34),2)</f>
        <v>161314.39000000001</v>
      </c>
      <c r="N34" s="839"/>
      <c r="O34" s="429"/>
      <c r="P34" s="429"/>
      <c r="Q34" s="429"/>
      <c r="R34" s="429"/>
    </row>
    <row r="35" spans="1:18" ht="25.5" customHeight="1" outlineLevel="1">
      <c r="A35" s="458" t="s">
        <v>454</v>
      </c>
      <c r="B35" s="459" t="s">
        <v>465</v>
      </c>
      <c r="C35" s="460" t="s">
        <v>661</v>
      </c>
      <c r="D35" s="461" t="s">
        <v>5</v>
      </c>
      <c r="E35" s="1226">
        <v>6.46</v>
      </c>
      <c r="F35" s="1227">
        <v>1942.89</v>
      </c>
      <c r="G35" s="555">
        <f t="shared" si="10"/>
        <v>12551.0694</v>
      </c>
      <c r="H35" s="1228">
        <v>0</v>
      </c>
      <c r="I35" s="555">
        <f t="shared" si="8"/>
        <v>0</v>
      </c>
      <c r="J35" s="1228">
        <f>VLOOKUP(A35,'13 - MEMÓRIA'!$A$1:$R$873,18,FALSE)</f>
        <v>1485.29</v>
      </c>
      <c r="K35" s="1215">
        <f t="shared" si="11"/>
        <v>9594.9699999999993</v>
      </c>
      <c r="L35" s="1228">
        <f t="shared" si="9"/>
        <v>1485.29</v>
      </c>
      <c r="M35" s="555">
        <f t="shared" si="12"/>
        <v>9594.9699999999993</v>
      </c>
      <c r="N35" s="839"/>
      <c r="O35" s="429"/>
      <c r="P35" s="429"/>
      <c r="Q35" s="429"/>
      <c r="R35" s="429"/>
    </row>
    <row r="36" spans="1:18" ht="30" customHeight="1" outlineLevel="1">
      <c r="A36" s="458" t="s">
        <v>455</v>
      </c>
      <c r="B36" s="459" t="s">
        <v>466</v>
      </c>
      <c r="C36" s="460" t="s">
        <v>662</v>
      </c>
      <c r="D36" s="461" t="s">
        <v>6</v>
      </c>
      <c r="E36" s="1212">
        <v>9.92</v>
      </c>
      <c r="F36" s="1213">
        <v>2525.7600000000002</v>
      </c>
      <c r="G36" s="462">
        <f t="shared" si="10"/>
        <v>25055.539200000003</v>
      </c>
      <c r="H36" s="1214">
        <v>0</v>
      </c>
      <c r="I36" s="555">
        <f t="shared" si="8"/>
        <v>0</v>
      </c>
      <c r="J36" s="1214">
        <f>VLOOKUP(A36,'13 - MEMÓRIA'!$A$1:$R$873,18,FALSE)</f>
        <v>2525.7600000000002</v>
      </c>
      <c r="K36" s="1230">
        <f t="shared" si="11"/>
        <v>25055.54</v>
      </c>
      <c r="L36" s="1214">
        <f t="shared" si="9"/>
        <v>2525.7600000000002</v>
      </c>
      <c r="M36" s="462">
        <f t="shared" si="12"/>
        <v>25055.54</v>
      </c>
      <c r="N36" s="839"/>
      <c r="O36" s="429"/>
      <c r="P36" s="429"/>
      <c r="Q36" s="429"/>
      <c r="R36" s="429"/>
    </row>
    <row r="37" spans="1:18" ht="22.5" customHeight="1" outlineLevel="1">
      <c r="A37" s="685" t="s">
        <v>456</v>
      </c>
      <c r="B37" s="686" t="s">
        <v>464</v>
      </c>
      <c r="C37" s="687" t="s">
        <v>474</v>
      </c>
      <c r="D37" s="461" t="s">
        <v>5</v>
      </c>
      <c r="E37" s="1218">
        <v>6.58</v>
      </c>
      <c r="F37" s="1219">
        <v>1942.89</v>
      </c>
      <c r="G37" s="684">
        <f t="shared" si="10"/>
        <v>12784.216200000001</v>
      </c>
      <c r="H37" s="1220">
        <v>0</v>
      </c>
      <c r="I37" s="555">
        <f t="shared" si="8"/>
        <v>0</v>
      </c>
      <c r="J37" s="1220">
        <f>VLOOKUP(A37,'13 - MEMÓRIA'!$A$1:$R$873,18,FALSE)</f>
        <v>0</v>
      </c>
      <c r="K37" s="1231">
        <f t="shared" si="11"/>
        <v>0</v>
      </c>
      <c r="L37" s="1220">
        <f t="shared" si="9"/>
        <v>0</v>
      </c>
      <c r="M37" s="684">
        <f t="shared" si="12"/>
        <v>0</v>
      </c>
      <c r="N37" s="839"/>
      <c r="O37" s="429"/>
      <c r="P37" s="429"/>
      <c r="Q37" s="429"/>
      <c r="R37" s="429"/>
    </row>
    <row r="38" spans="1:18" ht="22.5" customHeight="1" outlineLevel="1">
      <c r="A38" s="463" t="s">
        <v>457</v>
      </c>
      <c r="B38" s="464" t="s">
        <v>467</v>
      </c>
      <c r="C38" s="452" t="s">
        <v>475</v>
      </c>
      <c r="D38" s="465" t="s">
        <v>5</v>
      </c>
      <c r="E38" s="1206">
        <v>129.18</v>
      </c>
      <c r="F38" s="1207">
        <v>609.58000000000004</v>
      </c>
      <c r="G38" s="453">
        <f t="shared" si="10"/>
        <v>78745.544400000013</v>
      </c>
      <c r="H38" s="1208">
        <v>0</v>
      </c>
      <c r="I38" s="555">
        <f t="shared" si="8"/>
        <v>0</v>
      </c>
      <c r="J38" s="1208">
        <f>VLOOKUP(A38,'13 - MEMÓRIA'!$A$1:$R$873,18,FALSE)</f>
        <v>604.12400000000002</v>
      </c>
      <c r="K38" s="1229">
        <f t="shared" si="11"/>
        <v>78040.740000000005</v>
      </c>
      <c r="L38" s="1208">
        <f t="shared" si="9"/>
        <v>604.12400000000002</v>
      </c>
      <c r="M38" s="453">
        <f t="shared" si="12"/>
        <v>78040.740000000005</v>
      </c>
      <c r="N38" s="839"/>
      <c r="O38" s="429"/>
      <c r="P38" s="429"/>
      <c r="Q38" s="429"/>
      <c r="R38" s="429"/>
    </row>
    <row r="39" spans="1:18" ht="29.25" customHeight="1" outlineLevel="1">
      <c r="A39" s="458" t="s">
        <v>458</v>
      </c>
      <c r="B39" s="459" t="s">
        <v>469</v>
      </c>
      <c r="C39" s="460" t="s">
        <v>659</v>
      </c>
      <c r="D39" s="465" t="s">
        <v>5</v>
      </c>
      <c r="E39" s="1212">
        <v>177.1</v>
      </c>
      <c r="F39" s="1213">
        <v>11.26</v>
      </c>
      <c r="G39" s="462">
        <f t="shared" si="10"/>
        <v>1994.146</v>
      </c>
      <c r="H39" s="1214">
        <v>0</v>
      </c>
      <c r="I39" s="555">
        <f t="shared" si="8"/>
        <v>0</v>
      </c>
      <c r="J39" s="1214">
        <f>VLOOKUP(A39,'13 - MEMÓRIA'!$A$1:$R$873,18,FALSE)</f>
        <v>0</v>
      </c>
      <c r="K39" s="1230">
        <f>M39-I39</f>
        <v>0</v>
      </c>
      <c r="L39" s="1214">
        <f t="shared" si="9"/>
        <v>0</v>
      </c>
      <c r="M39" s="462">
        <f>ROUND((E39*L39),2)</f>
        <v>0</v>
      </c>
      <c r="N39" s="839"/>
      <c r="O39" s="429"/>
      <c r="P39" s="429"/>
      <c r="Q39" s="429"/>
      <c r="R39" s="429"/>
    </row>
    <row r="40" spans="1:18" ht="21" customHeight="1" outlineLevel="1">
      <c r="A40" s="458" t="s">
        <v>459</v>
      </c>
      <c r="B40" s="459" t="s">
        <v>472</v>
      </c>
      <c r="C40" s="460" t="s">
        <v>476</v>
      </c>
      <c r="D40" s="461" t="s">
        <v>7</v>
      </c>
      <c r="E40" s="1212">
        <v>0.3</v>
      </c>
      <c r="F40" s="1213">
        <v>225.2</v>
      </c>
      <c r="G40" s="462">
        <f t="shared" si="10"/>
        <v>67.559999999999988</v>
      </c>
      <c r="H40" s="1214">
        <v>0</v>
      </c>
      <c r="I40" s="555">
        <f t="shared" si="8"/>
        <v>0</v>
      </c>
      <c r="J40" s="1214">
        <f>VLOOKUP(A40,'13 - MEMÓRIA'!$A$1:$R$873,18,FALSE)</f>
        <v>0</v>
      </c>
      <c r="K40" s="1230">
        <f>M40-I40</f>
        <v>0</v>
      </c>
      <c r="L40" s="1214">
        <f t="shared" si="9"/>
        <v>0</v>
      </c>
      <c r="M40" s="462">
        <f>ROUND((E40*L40),2)</f>
        <v>0</v>
      </c>
      <c r="N40" s="839"/>
      <c r="O40" s="429"/>
      <c r="P40" s="429"/>
      <c r="Q40" s="429"/>
      <c r="R40" s="429"/>
    </row>
    <row r="41" spans="1:18" ht="28.5" customHeight="1" outlineLevel="1">
      <c r="A41" s="458" t="s">
        <v>460</v>
      </c>
      <c r="B41" s="459" t="s">
        <v>470</v>
      </c>
      <c r="C41" s="1134" t="s">
        <v>658</v>
      </c>
      <c r="D41" s="461" t="s">
        <v>6</v>
      </c>
      <c r="E41" s="1212">
        <v>57.01</v>
      </c>
      <c r="F41" s="1213">
        <v>1689.16</v>
      </c>
      <c r="G41" s="462">
        <f t="shared" si="10"/>
        <v>96299.011599999998</v>
      </c>
      <c r="H41" s="1214">
        <v>0</v>
      </c>
      <c r="I41" s="555">
        <f t="shared" si="8"/>
        <v>0</v>
      </c>
      <c r="J41" s="1214">
        <f>VLOOKUP(A41,'13 - MEMÓRIA'!$A$1:$R$873,18,FALSE)</f>
        <v>0</v>
      </c>
      <c r="K41" s="1230">
        <f>M41-I41</f>
        <v>0</v>
      </c>
      <c r="L41" s="1214">
        <f t="shared" si="9"/>
        <v>0</v>
      </c>
      <c r="M41" s="462">
        <f>ROUND((E41*L41),2)</f>
        <v>0</v>
      </c>
      <c r="N41" s="839"/>
      <c r="O41" s="429"/>
      <c r="P41" s="429"/>
      <c r="Q41" s="429"/>
      <c r="R41" s="429"/>
    </row>
    <row r="42" spans="1:18" ht="23.25" customHeight="1" outlineLevel="1">
      <c r="A42" s="458" t="s">
        <v>461</v>
      </c>
      <c r="B42" s="459" t="s">
        <v>468</v>
      </c>
      <c r="C42" s="460" t="s">
        <v>656</v>
      </c>
      <c r="D42" s="461" t="s">
        <v>6</v>
      </c>
      <c r="E42" s="1212">
        <v>2534.16</v>
      </c>
      <c r="F42" s="1213">
        <v>0.17</v>
      </c>
      <c r="G42" s="462">
        <f t="shared" si="10"/>
        <v>430.80720000000002</v>
      </c>
      <c r="H42" s="1214">
        <v>0</v>
      </c>
      <c r="I42" s="555">
        <f t="shared" si="8"/>
        <v>0</v>
      </c>
      <c r="J42" s="1214">
        <f>VLOOKUP(A42,'13 - MEMÓRIA'!$A$1:$R$873,18,FALSE)</f>
        <v>0</v>
      </c>
      <c r="K42" s="1230">
        <f>M42-I42</f>
        <v>0</v>
      </c>
      <c r="L42" s="1214">
        <f t="shared" si="9"/>
        <v>0</v>
      </c>
      <c r="M42" s="462">
        <f>ROUND((E42*L42),2)</f>
        <v>0</v>
      </c>
      <c r="N42" s="839"/>
      <c r="O42" s="429"/>
      <c r="P42" s="429"/>
      <c r="Q42" s="429"/>
      <c r="R42" s="429"/>
    </row>
    <row r="43" spans="1:18" ht="31.5" customHeight="1" outlineLevel="1">
      <c r="A43" s="458" t="s">
        <v>462</v>
      </c>
      <c r="B43" s="459" t="s">
        <v>471</v>
      </c>
      <c r="C43" s="460" t="s">
        <v>657</v>
      </c>
      <c r="D43" s="461" t="s">
        <v>663</v>
      </c>
      <c r="E43" s="1212">
        <v>0.47</v>
      </c>
      <c r="F43" s="1213">
        <v>126687.21</v>
      </c>
      <c r="G43" s="462">
        <f t="shared" si="10"/>
        <v>59542.988700000002</v>
      </c>
      <c r="H43" s="1214">
        <v>29889.019</v>
      </c>
      <c r="I43" s="555">
        <f t="shared" si="8"/>
        <v>14047.84</v>
      </c>
      <c r="J43" s="1214">
        <f>VLOOKUP(A43,'13 - MEMÓRIA'!$A$1:$R$873,18,FALSE)</f>
        <v>16833.688999999998</v>
      </c>
      <c r="K43" s="1230">
        <f>M43-I43</f>
        <v>7911.8299999999981</v>
      </c>
      <c r="L43" s="1214">
        <f t="shared" si="9"/>
        <v>46722.707999999999</v>
      </c>
      <c r="M43" s="462">
        <f>ROUND((E43*L43),2)</f>
        <v>21959.67</v>
      </c>
      <c r="N43" s="839"/>
      <c r="O43" s="429"/>
      <c r="P43" s="429"/>
      <c r="Q43" s="429"/>
      <c r="R43" s="429"/>
    </row>
    <row r="44" spans="1:18" ht="28.5" customHeight="1" outlineLevel="1">
      <c r="A44" s="458" t="s">
        <v>463</v>
      </c>
      <c r="B44" s="459" t="s">
        <v>473</v>
      </c>
      <c r="C44" s="460" t="s">
        <v>746</v>
      </c>
      <c r="D44" s="461" t="s">
        <v>5</v>
      </c>
      <c r="E44" s="1226">
        <v>17.100000000000001</v>
      </c>
      <c r="F44" s="1227">
        <v>6951.43</v>
      </c>
      <c r="G44" s="555">
        <f t="shared" si="10"/>
        <v>118869.45300000001</v>
      </c>
      <c r="H44" s="1228">
        <v>5446.6090000000004</v>
      </c>
      <c r="I44" s="555">
        <f t="shared" si="8"/>
        <v>93137.01</v>
      </c>
      <c r="J44" s="1228">
        <f>VLOOKUP(A44,'13 - MEMÓRIA'!$A$1:$R$873,18,FALSE)</f>
        <v>1504.8169999999991</v>
      </c>
      <c r="K44" s="1215">
        <f t="shared" si="11"/>
        <v>25732.37000000001</v>
      </c>
      <c r="L44" s="1228">
        <f t="shared" si="9"/>
        <v>6951.4259999999995</v>
      </c>
      <c r="M44" s="555">
        <f t="shared" si="12"/>
        <v>118869.38</v>
      </c>
      <c r="N44" s="839"/>
      <c r="O44" s="429"/>
      <c r="P44" s="429"/>
      <c r="Q44" s="429"/>
      <c r="R44" s="429"/>
    </row>
    <row r="45" spans="1:18" ht="19.899999999999999" customHeight="1">
      <c r="A45" s="454" t="s">
        <v>450</v>
      </c>
      <c r="B45" s="1192" t="s">
        <v>477</v>
      </c>
      <c r="C45" s="455"/>
      <c r="D45" s="455"/>
      <c r="E45" s="455"/>
      <c r="F45" s="455"/>
      <c r="G45" s="456">
        <f>SUBTOTAL(9,G46:G50)</f>
        <v>40555.049200000001</v>
      </c>
      <c r="H45" s="455"/>
      <c r="I45" s="456">
        <f>SUBTOTAL(9,I46:I50)</f>
        <v>26869.449999999997</v>
      </c>
      <c r="J45" s="455"/>
      <c r="K45" s="868">
        <f>SUBTOTAL(9,K46:K50)</f>
        <v>6260.53</v>
      </c>
      <c r="L45" s="455"/>
      <c r="M45" s="457">
        <f>SUBTOTAL(9,M46:M50)</f>
        <v>33129.979999999996</v>
      </c>
      <c r="N45" s="748"/>
      <c r="O45" s="445"/>
      <c r="P45" s="445"/>
      <c r="Q45" s="445"/>
      <c r="R45" s="445"/>
    </row>
    <row r="46" spans="1:18" ht="42" customHeight="1" outlineLevel="1">
      <c r="A46" s="458" t="s">
        <v>478</v>
      </c>
      <c r="B46" s="642" t="s">
        <v>484</v>
      </c>
      <c r="C46" s="460" t="s">
        <v>691</v>
      </c>
      <c r="D46" s="461" t="s">
        <v>101</v>
      </c>
      <c r="E46" s="1212">
        <v>507.61</v>
      </c>
      <c r="F46" s="1213">
        <v>15</v>
      </c>
      <c r="G46" s="462">
        <f t="shared" si="10"/>
        <v>7614.1500000000005</v>
      </c>
      <c r="H46" s="1214">
        <v>6</v>
      </c>
      <c r="I46" s="462">
        <f t="shared" si="8"/>
        <v>3045.66</v>
      </c>
      <c r="J46" s="1214">
        <f>VLOOKUP(A46,'13 - MEMÓRIA'!$A$1:$R$873,18,FALSE)</f>
        <v>9</v>
      </c>
      <c r="K46" s="1230">
        <f t="shared" ref="K46:K50" si="13">M46-I46</f>
        <v>4568.49</v>
      </c>
      <c r="L46" s="1214">
        <f t="shared" ref="L46:L71" si="14">H46+J46</f>
        <v>15</v>
      </c>
      <c r="M46" s="462">
        <f t="shared" ref="M46:M50" si="15">ROUND((E46*L46),2)</f>
        <v>7614.15</v>
      </c>
      <c r="N46" s="702"/>
      <c r="O46" s="429"/>
      <c r="P46" s="429"/>
      <c r="Q46" s="429"/>
      <c r="R46" s="429"/>
    </row>
    <row r="47" spans="1:18" ht="23.25" customHeight="1" outlineLevel="1">
      <c r="A47" s="458" t="s">
        <v>479</v>
      </c>
      <c r="B47" s="642" t="s">
        <v>521</v>
      </c>
      <c r="C47" s="460" t="s">
        <v>522</v>
      </c>
      <c r="D47" s="461" t="s">
        <v>8</v>
      </c>
      <c r="E47" s="1212">
        <v>173.96</v>
      </c>
      <c r="F47" s="1213">
        <v>107.77</v>
      </c>
      <c r="G47" s="462">
        <f t="shared" si="10"/>
        <v>18747.6692</v>
      </c>
      <c r="H47" s="1214">
        <v>107.77</v>
      </c>
      <c r="I47" s="462">
        <f t="shared" si="8"/>
        <v>18747.669999999998</v>
      </c>
      <c r="J47" s="1214">
        <f>VLOOKUP(A47,'13 - MEMÓRIA'!$A$1:$R$873,18,FALSE)</f>
        <v>0</v>
      </c>
      <c r="K47" s="1230">
        <f t="shared" si="13"/>
        <v>0</v>
      </c>
      <c r="L47" s="1214">
        <f t="shared" si="14"/>
        <v>107.77</v>
      </c>
      <c r="M47" s="462">
        <f t="shared" si="15"/>
        <v>18747.669999999998</v>
      </c>
      <c r="N47" s="702"/>
      <c r="O47" s="429"/>
      <c r="P47" s="429"/>
      <c r="Q47" s="429"/>
      <c r="R47" s="429"/>
    </row>
    <row r="48" spans="1:18" ht="23.25" customHeight="1" outlineLevel="1">
      <c r="A48" s="458" t="s">
        <v>480</v>
      </c>
      <c r="B48" s="459" t="s">
        <v>483</v>
      </c>
      <c r="C48" s="460" t="s">
        <v>485</v>
      </c>
      <c r="D48" s="461" t="s">
        <v>101</v>
      </c>
      <c r="E48" s="1212">
        <v>1692.04</v>
      </c>
      <c r="F48" s="1213">
        <v>4</v>
      </c>
      <c r="G48" s="462">
        <f t="shared" si="10"/>
        <v>6768.16</v>
      </c>
      <c r="H48" s="1214">
        <v>3</v>
      </c>
      <c r="I48" s="462">
        <f t="shared" si="8"/>
        <v>5076.12</v>
      </c>
      <c r="J48" s="1214">
        <f>VLOOKUP(A48,'13 - MEMÓRIA'!$A$1:$R$873,18,FALSE)</f>
        <v>1</v>
      </c>
      <c r="K48" s="1230">
        <f t="shared" si="13"/>
        <v>1692.04</v>
      </c>
      <c r="L48" s="1214">
        <f t="shared" si="14"/>
        <v>4</v>
      </c>
      <c r="M48" s="462">
        <f t="shared" si="15"/>
        <v>6768.16</v>
      </c>
      <c r="N48" s="702"/>
      <c r="O48" s="429"/>
      <c r="P48" s="429"/>
      <c r="Q48" s="429"/>
      <c r="R48" s="429"/>
    </row>
    <row r="49" spans="1:18" ht="24" outlineLevel="1">
      <c r="A49" s="458" t="s">
        <v>481</v>
      </c>
      <c r="B49" s="642" t="s">
        <v>664</v>
      </c>
      <c r="C49" s="460" t="s">
        <v>666</v>
      </c>
      <c r="D49" s="461" t="s">
        <v>8</v>
      </c>
      <c r="E49" s="1212">
        <v>212.7</v>
      </c>
      <c r="F49" s="1213">
        <v>5</v>
      </c>
      <c r="G49" s="462">
        <f t="shared" si="10"/>
        <v>1063.5</v>
      </c>
      <c r="H49" s="1214">
        <v>0</v>
      </c>
      <c r="I49" s="462">
        <f t="shared" si="8"/>
        <v>0</v>
      </c>
      <c r="J49" s="1214">
        <f>VLOOKUP(A49,'13 - MEMÓRIA'!$A$1:$R$873,18,FALSE)</f>
        <v>0</v>
      </c>
      <c r="K49" s="1230">
        <f t="shared" si="13"/>
        <v>0</v>
      </c>
      <c r="L49" s="1214">
        <f t="shared" si="14"/>
        <v>0</v>
      </c>
      <c r="M49" s="462">
        <f t="shared" si="15"/>
        <v>0</v>
      </c>
      <c r="N49" s="702"/>
      <c r="O49" s="429"/>
      <c r="P49" s="429"/>
      <c r="Q49" s="429"/>
      <c r="R49" s="429"/>
    </row>
    <row r="50" spans="1:18" ht="24.75" customHeight="1" outlineLevel="1">
      <c r="A50" s="458" t="s">
        <v>482</v>
      </c>
      <c r="B50" s="459" t="s">
        <v>665</v>
      </c>
      <c r="C50" s="460" t="s">
        <v>667</v>
      </c>
      <c r="D50" s="461" t="s">
        <v>8</v>
      </c>
      <c r="E50" s="1212">
        <v>276.58999999999997</v>
      </c>
      <c r="F50" s="1213">
        <v>23</v>
      </c>
      <c r="G50" s="462">
        <f t="shared" si="10"/>
        <v>6361.57</v>
      </c>
      <c r="H50" s="1214">
        <v>0</v>
      </c>
      <c r="I50" s="462">
        <f t="shared" si="8"/>
        <v>0</v>
      </c>
      <c r="J50" s="1214">
        <f>VLOOKUP(A50,'13 - MEMÓRIA'!$A$1:$R$873,18,FALSE)</f>
        <v>0</v>
      </c>
      <c r="K50" s="1230">
        <f t="shared" si="13"/>
        <v>0</v>
      </c>
      <c r="L50" s="1214">
        <f t="shared" si="14"/>
        <v>0</v>
      </c>
      <c r="M50" s="462">
        <f t="shared" si="15"/>
        <v>0</v>
      </c>
      <c r="N50" s="702"/>
      <c r="O50" s="429"/>
      <c r="P50" s="429"/>
      <c r="Q50" s="429"/>
      <c r="R50" s="429"/>
    </row>
    <row r="51" spans="1:18" ht="19.899999999999999" customHeight="1">
      <c r="A51" s="454" t="s">
        <v>486</v>
      </c>
      <c r="B51" s="1192" t="s">
        <v>668</v>
      </c>
      <c r="C51" s="455"/>
      <c r="D51" s="455"/>
      <c r="E51" s="455"/>
      <c r="F51" s="455"/>
      <c r="G51" s="456">
        <f>SUBTOTAL(9,G52:G52)</f>
        <v>23688.560000000001</v>
      </c>
      <c r="H51" s="455"/>
      <c r="I51" s="456">
        <f>SUBTOTAL(9,I52:I52)</f>
        <v>8460.2000000000007</v>
      </c>
      <c r="J51" s="455"/>
      <c r="K51" s="868">
        <f>SUBTOTAL(9,K52:K52)</f>
        <v>15228.36</v>
      </c>
      <c r="L51" s="455"/>
      <c r="M51" s="457">
        <f>SUBTOTAL(9,M52:M52)</f>
        <v>23688.560000000001</v>
      </c>
      <c r="N51" s="748"/>
      <c r="O51" s="445"/>
      <c r="P51" s="445"/>
      <c r="Q51" s="445"/>
      <c r="R51" s="445"/>
    </row>
    <row r="52" spans="1:18" ht="22.5" customHeight="1" outlineLevel="1">
      <c r="A52" s="1257" t="s">
        <v>487</v>
      </c>
      <c r="B52" s="1258" t="s">
        <v>483</v>
      </c>
      <c r="C52" s="1259" t="s">
        <v>485</v>
      </c>
      <c r="D52" s="1260" t="s">
        <v>101</v>
      </c>
      <c r="E52" s="1261">
        <v>1692.04</v>
      </c>
      <c r="F52" s="1262">
        <v>14</v>
      </c>
      <c r="G52" s="1263">
        <f>TRUNC(F52*E52,2)</f>
        <v>23688.560000000001</v>
      </c>
      <c r="H52" s="1264">
        <v>5</v>
      </c>
      <c r="I52" s="462">
        <f t="shared" ref="I52:I71" si="16">ROUND((E52*H52),2)</f>
        <v>8460.2000000000007</v>
      </c>
      <c r="J52" s="1264">
        <f>VLOOKUP(A52,'13 - MEMÓRIA'!$A$1:$R$873,18,FALSE)</f>
        <v>9</v>
      </c>
      <c r="K52" s="1265">
        <f>M52-I52</f>
        <v>15228.36</v>
      </c>
      <c r="L52" s="1264">
        <f t="shared" si="14"/>
        <v>14</v>
      </c>
      <c r="M52" s="1263">
        <f>ROUND((E52*L52),2)</f>
        <v>23688.560000000001</v>
      </c>
      <c r="N52" s="702"/>
      <c r="O52" s="429"/>
      <c r="P52" s="429"/>
      <c r="Q52" s="429"/>
      <c r="R52" s="429"/>
    </row>
    <row r="53" spans="1:18" ht="19.899999999999999" customHeight="1">
      <c r="A53" s="454" t="s">
        <v>488</v>
      </c>
      <c r="B53" s="1192" t="s">
        <v>78</v>
      </c>
      <c r="C53" s="455"/>
      <c r="D53" s="455"/>
      <c r="E53" s="455"/>
      <c r="F53" s="455"/>
      <c r="G53" s="456">
        <f>SUBTOTAL(9,G54:G57)</f>
        <v>146798.21770000001</v>
      </c>
      <c r="H53" s="455"/>
      <c r="I53" s="456">
        <f>SUBTOTAL(9,I54:I57)</f>
        <v>101766.41</v>
      </c>
      <c r="J53" s="455"/>
      <c r="K53" s="868">
        <f>SUBTOTAL(9,K54:K57)</f>
        <v>41218.880000000005</v>
      </c>
      <c r="L53" s="455"/>
      <c r="M53" s="457">
        <f>SUBTOTAL(9,M54:M57)</f>
        <v>142985.29</v>
      </c>
      <c r="N53" s="748"/>
      <c r="O53" s="445"/>
      <c r="P53" s="445"/>
      <c r="Q53" s="445"/>
      <c r="R53" s="445"/>
    </row>
    <row r="54" spans="1:18" ht="22.5" customHeight="1" outlineLevel="1">
      <c r="A54" s="458" t="s">
        <v>489</v>
      </c>
      <c r="B54" s="459" t="s">
        <v>493</v>
      </c>
      <c r="C54" s="460" t="s">
        <v>670</v>
      </c>
      <c r="D54" s="461" t="s">
        <v>5</v>
      </c>
      <c r="E54" s="1212">
        <v>155.02000000000001</v>
      </c>
      <c r="F54" s="1213">
        <v>300</v>
      </c>
      <c r="G54" s="462">
        <f t="shared" ref="G54:G56" si="17">E54*F54</f>
        <v>46506</v>
      </c>
      <c r="H54" s="1214">
        <v>54.015000000000001</v>
      </c>
      <c r="I54" s="462">
        <f t="shared" si="16"/>
        <v>8373.41</v>
      </c>
      <c r="J54" s="1214">
        <f>VLOOKUP(A54,'13 - MEMÓRIA'!$A$1:$R$873,18,FALSE)</f>
        <v>244</v>
      </c>
      <c r="K54" s="1230">
        <f t="shared" ref="K54:K57" si="18">M54-I54</f>
        <v>37824.880000000005</v>
      </c>
      <c r="L54" s="1214">
        <f t="shared" si="14"/>
        <v>298.01499999999999</v>
      </c>
      <c r="M54" s="462">
        <f t="shared" ref="M54:M57" si="19">ROUND((E54*L54),2)</f>
        <v>46198.29</v>
      </c>
      <c r="N54" s="702"/>
      <c r="O54" s="429"/>
      <c r="P54" s="429"/>
      <c r="Q54" s="429"/>
      <c r="R54" s="429"/>
    </row>
    <row r="55" spans="1:18" ht="22.5" customHeight="1" outlineLevel="1">
      <c r="A55" s="1798" t="s">
        <v>490</v>
      </c>
      <c r="B55" s="1807" t="s">
        <v>669</v>
      </c>
      <c r="C55" s="1800" t="s">
        <v>671</v>
      </c>
      <c r="D55" s="1801" t="s">
        <v>7</v>
      </c>
      <c r="E55" s="1802">
        <v>49.45</v>
      </c>
      <c r="F55" s="1803">
        <v>1957.27</v>
      </c>
      <c r="G55" s="1804">
        <f t="shared" si="17"/>
        <v>96787.001499999998</v>
      </c>
      <c r="H55" s="1805">
        <v>1888.635</v>
      </c>
      <c r="I55" s="1804">
        <f t="shared" si="16"/>
        <v>93393</v>
      </c>
      <c r="J55" s="1805">
        <f>VLOOKUP(A55,'13 - MEMÓRIA'!$A$1:$R$873,18,FALSE)</f>
        <v>68.634999999999991</v>
      </c>
      <c r="K55" s="1806">
        <f t="shared" si="18"/>
        <v>3394</v>
      </c>
      <c r="L55" s="1805">
        <f t="shared" si="14"/>
        <v>1957.27</v>
      </c>
      <c r="M55" s="1804">
        <f t="shared" si="19"/>
        <v>96787</v>
      </c>
      <c r="N55" s="702"/>
      <c r="O55" s="429"/>
      <c r="P55" s="429"/>
      <c r="Q55" s="429"/>
      <c r="R55" s="429"/>
    </row>
    <row r="56" spans="1:18" ht="22.5" customHeight="1" outlineLevel="1">
      <c r="A56" s="458" t="s">
        <v>491</v>
      </c>
      <c r="B56" s="459" t="s">
        <v>494</v>
      </c>
      <c r="C56" s="460" t="s">
        <v>503</v>
      </c>
      <c r="D56" s="461" t="s">
        <v>7</v>
      </c>
      <c r="E56" s="1212">
        <v>2.8</v>
      </c>
      <c r="F56" s="1213">
        <v>225.29</v>
      </c>
      <c r="G56" s="462">
        <f t="shared" si="17"/>
        <v>630.8119999999999</v>
      </c>
      <c r="H56" s="1214">
        <v>0</v>
      </c>
      <c r="I56" s="462">
        <f t="shared" si="16"/>
        <v>0</v>
      </c>
      <c r="J56" s="1214">
        <f>VLOOKUP(A56,'13 - MEMÓRIA'!$A$1:$R$873,18,FALSE)</f>
        <v>0</v>
      </c>
      <c r="K56" s="1230">
        <f t="shared" si="18"/>
        <v>0</v>
      </c>
      <c r="L56" s="1214">
        <f t="shared" si="14"/>
        <v>0</v>
      </c>
      <c r="M56" s="462">
        <f t="shared" si="19"/>
        <v>0</v>
      </c>
      <c r="N56" s="702"/>
      <c r="O56" s="429"/>
      <c r="P56" s="429"/>
      <c r="Q56" s="429"/>
      <c r="R56" s="429"/>
    </row>
    <row r="57" spans="1:18" ht="25.5" outlineLevel="1">
      <c r="A57" s="458" t="s">
        <v>673</v>
      </c>
      <c r="B57" s="459" t="s">
        <v>495</v>
      </c>
      <c r="C57" s="460" t="s">
        <v>672</v>
      </c>
      <c r="D57" s="461" t="s">
        <v>5</v>
      </c>
      <c r="E57" s="1226">
        <v>53.21</v>
      </c>
      <c r="F57" s="1227">
        <v>54.02</v>
      </c>
      <c r="G57" s="555">
        <f>E57*F57</f>
        <v>2874.4042000000004</v>
      </c>
      <c r="H57" s="1228">
        <v>0</v>
      </c>
      <c r="I57" s="462">
        <f t="shared" si="16"/>
        <v>0</v>
      </c>
      <c r="J57" s="1214">
        <f>VLOOKUP(A57,'13 - MEMÓRIA'!$A$1:$R$873,18,FALSE)</f>
        <v>0</v>
      </c>
      <c r="K57" s="1230">
        <f t="shared" si="18"/>
        <v>0</v>
      </c>
      <c r="L57" s="1214">
        <f t="shared" si="14"/>
        <v>0</v>
      </c>
      <c r="M57" s="462">
        <f t="shared" si="19"/>
        <v>0</v>
      </c>
      <c r="N57" s="702"/>
      <c r="O57" s="429"/>
      <c r="P57" s="429"/>
      <c r="Q57" s="429"/>
      <c r="R57" s="429"/>
    </row>
    <row r="58" spans="1:18" ht="19.899999999999999" customHeight="1">
      <c r="A58" s="454" t="s">
        <v>492</v>
      </c>
      <c r="B58" s="1192" t="s">
        <v>504</v>
      </c>
      <c r="C58" s="455"/>
      <c r="D58" s="455"/>
      <c r="E58" s="455"/>
      <c r="F58" s="455"/>
      <c r="G58" s="456">
        <f>SUBTOTAL(9,G59:G71)</f>
        <v>2370575.7646000003</v>
      </c>
      <c r="H58" s="455"/>
      <c r="I58" s="456">
        <f>SUBTOTAL(9,I59:I71)</f>
        <v>2015429.0699999998</v>
      </c>
      <c r="J58" s="455"/>
      <c r="K58" s="869">
        <f>SUBTOTAL(9,K59:K71)</f>
        <v>134714.00000000009</v>
      </c>
      <c r="L58" s="455"/>
      <c r="M58" s="457">
        <f>SUBTOTAL(9,M59:M71)</f>
        <v>2150143.0700000003</v>
      </c>
      <c r="N58" s="993"/>
      <c r="O58" s="994"/>
      <c r="P58" s="445"/>
      <c r="Q58" s="445"/>
      <c r="R58" s="445"/>
    </row>
    <row r="59" spans="1:18" ht="31.5" customHeight="1" outlineLevel="1">
      <c r="A59" s="458" t="s">
        <v>496</v>
      </c>
      <c r="B59" s="642" t="s">
        <v>680</v>
      </c>
      <c r="C59" s="460" t="s">
        <v>683</v>
      </c>
      <c r="D59" s="461" t="s">
        <v>8</v>
      </c>
      <c r="E59" s="1226">
        <v>2836.21</v>
      </c>
      <c r="F59" s="1227">
        <v>597</v>
      </c>
      <c r="G59" s="555">
        <f t="shared" ref="G59:G71" si="20">E59*F59</f>
        <v>1693217.37</v>
      </c>
      <c r="H59" s="1228">
        <v>587</v>
      </c>
      <c r="I59" s="555">
        <f t="shared" si="16"/>
        <v>1664855.27</v>
      </c>
      <c r="J59" s="1214">
        <f>VLOOKUP(A59,'13 - MEMÓRIA'!$A$1:$R$873,18,FALSE)</f>
        <v>4</v>
      </c>
      <c r="K59" s="1215">
        <f t="shared" ref="K59:K71" si="21">M59-I59</f>
        <v>11344.840000000084</v>
      </c>
      <c r="L59" s="1228">
        <f t="shared" si="14"/>
        <v>591</v>
      </c>
      <c r="M59" s="555">
        <f>ROUND((E59*L59),2)</f>
        <v>1676200.11</v>
      </c>
      <c r="N59" s="702"/>
      <c r="O59" s="429"/>
      <c r="P59" s="429"/>
      <c r="Q59" s="429"/>
      <c r="R59" s="429"/>
    </row>
    <row r="60" spans="1:18" ht="31.5" customHeight="1" outlineLevel="1">
      <c r="A60" s="458" t="s">
        <v>497</v>
      </c>
      <c r="B60" s="642" t="s">
        <v>681</v>
      </c>
      <c r="C60" s="460" t="s">
        <v>684</v>
      </c>
      <c r="D60" s="461" t="s">
        <v>8</v>
      </c>
      <c r="E60" s="1212">
        <v>3127.02</v>
      </c>
      <c r="F60" s="1213">
        <v>28.9</v>
      </c>
      <c r="G60" s="462">
        <f t="shared" si="20"/>
        <v>90370.877999999997</v>
      </c>
      <c r="H60" s="1214">
        <v>11</v>
      </c>
      <c r="I60" s="555">
        <f t="shared" si="16"/>
        <v>34397.22</v>
      </c>
      <c r="J60" s="1214">
        <f>VLOOKUP(A60,'13 - MEMÓRIA'!$A$1:$R$873,18,FALSE)</f>
        <v>17.39</v>
      </c>
      <c r="K60" s="1230">
        <f t="shared" si="21"/>
        <v>54378.880000000005</v>
      </c>
      <c r="L60" s="1214">
        <f t="shared" si="14"/>
        <v>28.39</v>
      </c>
      <c r="M60" s="462">
        <f t="shared" ref="M60:M71" si="22">ROUND((E60*L60),2)</f>
        <v>88776.1</v>
      </c>
      <c r="N60" s="702"/>
      <c r="O60" s="429"/>
      <c r="P60" s="429"/>
      <c r="Q60" s="429"/>
      <c r="R60" s="429"/>
    </row>
    <row r="61" spans="1:18" ht="31.5" customHeight="1" outlineLevel="1">
      <c r="A61" s="458" t="s">
        <v>498</v>
      </c>
      <c r="B61" s="459" t="s">
        <v>508</v>
      </c>
      <c r="C61" s="460" t="s">
        <v>515</v>
      </c>
      <c r="D61" s="461" t="s">
        <v>5</v>
      </c>
      <c r="E61" s="1212">
        <v>284.2</v>
      </c>
      <c r="F61" s="1213">
        <v>86.1</v>
      </c>
      <c r="G61" s="462">
        <f t="shared" si="20"/>
        <v>24469.62</v>
      </c>
      <c r="H61" s="1214">
        <v>86.1</v>
      </c>
      <c r="I61" s="555">
        <f t="shared" si="16"/>
        <v>24469.62</v>
      </c>
      <c r="J61" s="1214">
        <f>VLOOKUP(A61,'13 - MEMÓRIA'!$A$1:$R$873,18,FALSE)</f>
        <v>0</v>
      </c>
      <c r="K61" s="1230">
        <f t="shared" si="21"/>
        <v>0</v>
      </c>
      <c r="L61" s="1214">
        <f t="shared" si="14"/>
        <v>86.1</v>
      </c>
      <c r="M61" s="462">
        <f t="shared" si="22"/>
        <v>24469.62</v>
      </c>
      <c r="N61" s="702"/>
      <c r="O61" s="429"/>
      <c r="P61" s="429"/>
      <c r="Q61" s="429"/>
      <c r="R61" s="429"/>
    </row>
    <row r="62" spans="1:18" ht="32.25" customHeight="1" outlineLevel="1">
      <c r="A62" s="458" t="s">
        <v>499</v>
      </c>
      <c r="B62" s="459" t="s">
        <v>507</v>
      </c>
      <c r="C62" s="460" t="s">
        <v>685</v>
      </c>
      <c r="D62" s="461" t="s">
        <v>7</v>
      </c>
      <c r="E62" s="1212">
        <v>167.94</v>
      </c>
      <c r="F62" s="1213">
        <v>42</v>
      </c>
      <c r="G62" s="462">
        <f t="shared" si="20"/>
        <v>7053.48</v>
      </c>
      <c r="H62" s="1214">
        <v>30.576000000000001</v>
      </c>
      <c r="I62" s="555">
        <f t="shared" si="16"/>
        <v>5134.93</v>
      </c>
      <c r="J62" s="1214">
        <f>VLOOKUP(A62,'13 - MEMÓRIA'!$A$1:$R$873,18,FALSE)</f>
        <v>11.423999999999999</v>
      </c>
      <c r="K62" s="1230">
        <f t="shared" si="21"/>
        <v>1918.5499999999993</v>
      </c>
      <c r="L62" s="1214">
        <f t="shared" si="14"/>
        <v>42</v>
      </c>
      <c r="M62" s="462">
        <f t="shared" si="22"/>
        <v>7053.48</v>
      </c>
      <c r="N62" s="702"/>
      <c r="O62" s="429"/>
      <c r="P62" s="429"/>
      <c r="Q62" s="429"/>
      <c r="R62" s="429"/>
    </row>
    <row r="63" spans="1:18" ht="30" customHeight="1" outlineLevel="1">
      <c r="A63" s="458" t="s">
        <v>500</v>
      </c>
      <c r="B63" s="459" t="s">
        <v>505</v>
      </c>
      <c r="C63" s="460" t="s">
        <v>514</v>
      </c>
      <c r="D63" s="461" t="s">
        <v>5</v>
      </c>
      <c r="E63" s="1226">
        <v>333.37</v>
      </c>
      <c r="F63" s="1227">
        <v>252.38</v>
      </c>
      <c r="G63" s="555">
        <f t="shared" si="20"/>
        <v>84135.920599999998</v>
      </c>
      <c r="H63" s="1228">
        <v>32.543999999999997</v>
      </c>
      <c r="I63" s="555">
        <f t="shared" si="16"/>
        <v>10849.19</v>
      </c>
      <c r="J63" s="1214">
        <f>VLOOKUP(A63,'13 - MEMÓRIA'!$A$1:$R$873,18,FALSE)</f>
        <v>97.491</v>
      </c>
      <c r="K63" s="1215">
        <f t="shared" si="21"/>
        <v>32500.579999999994</v>
      </c>
      <c r="L63" s="1228">
        <f t="shared" si="14"/>
        <v>130.035</v>
      </c>
      <c r="M63" s="555">
        <f t="shared" si="22"/>
        <v>43349.77</v>
      </c>
      <c r="N63" s="702"/>
      <c r="O63" s="429"/>
      <c r="P63" s="429"/>
      <c r="Q63" s="429"/>
      <c r="R63" s="429"/>
    </row>
    <row r="64" spans="1:18" ht="21.75" customHeight="1" outlineLevel="1">
      <c r="A64" s="458" t="s">
        <v>501</v>
      </c>
      <c r="B64" s="459" t="s">
        <v>506</v>
      </c>
      <c r="C64" s="460" t="s">
        <v>688</v>
      </c>
      <c r="D64" s="461" t="s">
        <v>5</v>
      </c>
      <c r="E64" s="1212">
        <v>31</v>
      </c>
      <c r="F64" s="1213">
        <v>214</v>
      </c>
      <c r="G64" s="462">
        <f t="shared" si="20"/>
        <v>6634</v>
      </c>
      <c r="H64" s="1214">
        <v>32.543999999999997</v>
      </c>
      <c r="I64" s="555">
        <f t="shared" si="16"/>
        <v>1008.86</v>
      </c>
      <c r="J64" s="1214">
        <f>VLOOKUP(A64,'13 - MEMÓRIA'!$A$1:$R$873,18,FALSE)</f>
        <v>97.491</v>
      </c>
      <c r="K64" s="1230">
        <f t="shared" si="21"/>
        <v>3022.23</v>
      </c>
      <c r="L64" s="1214">
        <f t="shared" si="14"/>
        <v>130.035</v>
      </c>
      <c r="M64" s="462">
        <f t="shared" si="22"/>
        <v>4031.09</v>
      </c>
      <c r="N64" s="702"/>
      <c r="O64" s="429"/>
      <c r="P64" s="429"/>
      <c r="Q64" s="429"/>
      <c r="R64" s="429"/>
    </row>
    <row r="65" spans="1:18" ht="24" outlineLevel="1">
      <c r="A65" s="458" t="s">
        <v>502</v>
      </c>
      <c r="B65" s="642" t="s">
        <v>513</v>
      </c>
      <c r="C65" s="460" t="s">
        <v>686</v>
      </c>
      <c r="D65" s="461" t="s">
        <v>420</v>
      </c>
      <c r="E65" s="1226">
        <v>12.92</v>
      </c>
      <c r="F65" s="1227">
        <v>6281</v>
      </c>
      <c r="G65" s="555">
        <f t="shared" si="20"/>
        <v>81150.52</v>
      </c>
      <c r="H65" s="1228">
        <v>0</v>
      </c>
      <c r="I65" s="555">
        <f t="shared" si="16"/>
        <v>0</v>
      </c>
      <c r="J65" s="1214">
        <f>VLOOKUP(A65,'13 - MEMÓRIA'!$A$1:$R$873,18,FALSE)</f>
        <v>0</v>
      </c>
      <c r="K65" s="1215">
        <f t="shared" si="21"/>
        <v>0</v>
      </c>
      <c r="L65" s="1228">
        <f t="shared" si="14"/>
        <v>0</v>
      </c>
      <c r="M65" s="555">
        <f t="shared" si="22"/>
        <v>0</v>
      </c>
      <c r="N65" s="702"/>
      <c r="O65" s="429"/>
      <c r="P65" s="429"/>
      <c r="Q65" s="429"/>
      <c r="R65" s="429"/>
    </row>
    <row r="66" spans="1:18" ht="22.5" customHeight="1" outlineLevel="1">
      <c r="A66" s="458" t="s">
        <v>674</v>
      </c>
      <c r="B66" s="642" t="s">
        <v>510</v>
      </c>
      <c r="C66" s="460" t="s">
        <v>516</v>
      </c>
      <c r="D66" s="461" t="s">
        <v>420</v>
      </c>
      <c r="E66" s="1226">
        <v>10.86</v>
      </c>
      <c r="F66" s="1227">
        <v>7280</v>
      </c>
      <c r="G66" s="555">
        <f t="shared" si="20"/>
        <v>79060.800000000003</v>
      </c>
      <c r="H66" s="1228">
        <v>1869.7760000000001</v>
      </c>
      <c r="I66" s="555">
        <f t="shared" si="16"/>
        <v>20305.77</v>
      </c>
      <c r="J66" s="1214">
        <f>VLOOKUP(A66,'13 - MEMÓRIA'!$A$1:$R$873,18,FALSE)</f>
        <v>0</v>
      </c>
      <c r="K66" s="1215">
        <f t="shared" si="21"/>
        <v>0</v>
      </c>
      <c r="L66" s="1228">
        <f t="shared" si="14"/>
        <v>1869.7760000000001</v>
      </c>
      <c r="M66" s="555">
        <f t="shared" si="22"/>
        <v>20305.77</v>
      </c>
      <c r="N66" s="702"/>
      <c r="O66" s="429"/>
      <c r="P66" s="429"/>
      <c r="Q66" s="429"/>
      <c r="R66" s="429"/>
    </row>
    <row r="67" spans="1:18" ht="22.5" customHeight="1" outlineLevel="1">
      <c r="A67" s="458" t="s">
        <v>675</v>
      </c>
      <c r="B67" s="459" t="s">
        <v>511</v>
      </c>
      <c r="C67" s="460" t="s">
        <v>517</v>
      </c>
      <c r="D67" s="461" t="s">
        <v>420</v>
      </c>
      <c r="E67" s="1212">
        <v>10.32</v>
      </c>
      <c r="F67" s="1213">
        <v>1507</v>
      </c>
      <c r="G67" s="462">
        <f t="shared" si="20"/>
        <v>15552.24</v>
      </c>
      <c r="H67" s="1214">
        <v>0</v>
      </c>
      <c r="I67" s="555">
        <f t="shared" si="16"/>
        <v>0</v>
      </c>
      <c r="J67" s="1214">
        <f>VLOOKUP(A67,'13 - MEMÓRIA'!$A$1:$R$873,18,FALSE)</f>
        <v>0</v>
      </c>
      <c r="K67" s="1230">
        <f t="shared" si="21"/>
        <v>0</v>
      </c>
      <c r="L67" s="1214">
        <f t="shared" si="14"/>
        <v>0</v>
      </c>
      <c r="M67" s="462">
        <f t="shared" si="22"/>
        <v>0</v>
      </c>
      <c r="N67" s="702"/>
      <c r="O67" s="429"/>
      <c r="P67" s="429"/>
      <c r="Q67" s="429"/>
      <c r="R67" s="429"/>
    </row>
    <row r="68" spans="1:18" ht="27" customHeight="1" outlineLevel="1">
      <c r="A68" s="458" t="s">
        <v>676</v>
      </c>
      <c r="B68" s="459" t="s">
        <v>509</v>
      </c>
      <c r="C68" s="460" t="s">
        <v>689</v>
      </c>
      <c r="D68" s="461" t="s">
        <v>5</v>
      </c>
      <c r="E68" s="1212">
        <v>116.26</v>
      </c>
      <c r="F68" s="1213">
        <v>516.6</v>
      </c>
      <c r="G68" s="462">
        <f t="shared" si="20"/>
        <v>60059.916000000005</v>
      </c>
      <c r="H68" s="1214">
        <v>516.59999999999991</v>
      </c>
      <c r="I68" s="555">
        <f t="shared" si="16"/>
        <v>60059.92</v>
      </c>
      <c r="J68" s="1214">
        <f>VLOOKUP(A68,'13 - MEMÓRIA'!$A$1:$R$873,18,FALSE)</f>
        <v>0</v>
      </c>
      <c r="K68" s="1230">
        <f t="shared" si="21"/>
        <v>0</v>
      </c>
      <c r="L68" s="1214">
        <f t="shared" si="14"/>
        <v>516.59999999999991</v>
      </c>
      <c r="M68" s="462">
        <f t="shared" si="22"/>
        <v>60059.92</v>
      </c>
      <c r="N68" s="702"/>
      <c r="O68" s="429"/>
      <c r="P68" s="429"/>
      <c r="Q68" s="429"/>
      <c r="R68" s="429"/>
    </row>
    <row r="69" spans="1:18" ht="24" outlineLevel="1">
      <c r="A69" s="458" t="s">
        <v>677</v>
      </c>
      <c r="B69" s="642" t="s">
        <v>523</v>
      </c>
      <c r="C69" s="460" t="s">
        <v>687</v>
      </c>
      <c r="D69" s="461" t="s">
        <v>7</v>
      </c>
      <c r="E69" s="1212">
        <v>42.63</v>
      </c>
      <c r="F69" s="1213">
        <v>4182</v>
      </c>
      <c r="G69" s="462">
        <f t="shared" si="20"/>
        <v>178278.66</v>
      </c>
      <c r="H69" s="1214">
        <v>4182</v>
      </c>
      <c r="I69" s="555">
        <f t="shared" si="16"/>
        <v>178278.66</v>
      </c>
      <c r="J69" s="1214">
        <f>VLOOKUP(A69,'13 - MEMÓRIA'!$A$1:$R$873,18,FALSE)</f>
        <v>0</v>
      </c>
      <c r="K69" s="1230">
        <f t="shared" si="21"/>
        <v>0</v>
      </c>
      <c r="L69" s="1214">
        <f t="shared" si="14"/>
        <v>4182</v>
      </c>
      <c r="M69" s="462">
        <f t="shared" si="22"/>
        <v>178278.66</v>
      </c>
      <c r="N69" s="702"/>
      <c r="O69" s="429"/>
      <c r="P69" s="429"/>
      <c r="Q69" s="429"/>
      <c r="R69" s="429"/>
    </row>
    <row r="70" spans="1:18" ht="24" outlineLevel="1">
      <c r="A70" s="458" t="s">
        <v>678</v>
      </c>
      <c r="B70" s="642" t="s">
        <v>682</v>
      </c>
      <c r="C70" s="460" t="s">
        <v>690</v>
      </c>
      <c r="D70" s="461" t="s">
        <v>711</v>
      </c>
      <c r="E70" s="1212">
        <v>4438.5200000000004</v>
      </c>
      <c r="F70" s="1213">
        <v>3</v>
      </c>
      <c r="G70" s="462">
        <f t="shared" si="20"/>
        <v>13315.560000000001</v>
      </c>
      <c r="H70" s="1214">
        <v>1.33</v>
      </c>
      <c r="I70" s="555">
        <f t="shared" si="16"/>
        <v>5903.23</v>
      </c>
      <c r="J70" s="1214">
        <f>VLOOKUP(A70,'13 - MEMÓRIA'!$A$1:$R$873,18,FALSE)</f>
        <v>1</v>
      </c>
      <c r="K70" s="1230">
        <f t="shared" si="21"/>
        <v>4438.5200000000004</v>
      </c>
      <c r="L70" s="1214">
        <f t="shared" si="14"/>
        <v>2.33</v>
      </c>
      <c r="M70" s="462">
        <f t="shared" si="22"/>
        <v>10341.75</v>
      </c>
      <c r="N70" s="702"/>
      <c r="O70" s="429"/>
      <c r="P70" s="429"/>
      <c r="Q70" s="429"/>
      <c r="R70" s="429"/>
    </row>
    <row r="71" spans="1:18" ht="24" customHeight="1" outlineLevel="1">
      <c r="A71" s="458" t="s">
        <v>679</v>
      </c>
      <c r="B71" s="642" t="s">
        <v>512</v>
      </c>
      <c r="C71" s="460" t="s">
        <v>518</v>
      </c>
      <c r="D71" s="461" t="s">
        <v>419</v>
      </c>
      <c r="E71" s="1212">
        <v>14.12</v>
      </c>
      <c r="F71" s="1213">
        <v>2640</v>
      </c>
      <c r="G71" s="462">
        <f t="shared" si="20"/>
        <v>37276.799999999996</v>
      </c>
      <c r="H71" s="1214">
        <v>720</v>
      </c>
      <c r="I71" s="555">
        <f t="shared" si="16"/>
        <v>10166.4</v>
      </c>
      <c r="J71" s="1214">
        <f>VLOOKUP(A71,'13 - MEMÓRIA'!$A$1:$R$873,18,FALSE)</f>
        <v>1920</v>
      </c>
      <c r="K71" s="1230">
        <f t="shared" si="21"/>
        <v>27110.400000000001</v>
      </c>
      <c r="L71" s="1214">
        <f t="shared" si="14"/>
        <v>2640</v>
      </c>
      <c r="M71" s="462">
        <f t="shared" si="22"/>
        <v>37276.800000000003</v>
      </c>
      <c r="N71" s="702"/>
      <c r="O71" s="429"/>
      <c r="P71" s="429"/>
      <c r="Q71" s="429"/>
      <c r="R71" s="429"/>
    </row>
    <row r="72" spans="1:18" ht="19.899999999999999" customHeight="1">
      <c r="A72" s="1186"/>
      <c r="B72" s="1187"/>
      <c r="C72" s="2411" t="s">
        <v>728</v>
      </c>
      <c r="D72" s="2412"/>
      <c r="E72" s="2412"/>
      <c r="F72" s="2413"/>
      <c r="G72" s="1225">
        <f>SUBTOTAL(9,$G$32:$G$71)</f>
        <v>3199903.8088000007</v>
      </c>
      <c r="H72" s="1232"/>
      <c r="I72" s="466">
        <f>SUBTOTAL(9,$I$32:$I$71)</f>
        <v>2346032.4200000004</v>
      </c>
      <c r="J72" s="1232"/>
      <c r="K72" s="466">
        <f>SUBTOTAL(9,$K$32:$K$71)</f>
        <v>458683.9200000001</v>
      </c>
      <c r="L72" s="1232"/>
      <c r="M72" s="466">
        <f>SUBTOTAL(9,$M$32:$M$71)</f>
        <v>2804716.34</v>
      </c>
      <c r="N72" s="990"/>
      <c r="O72" s="429"/>
      <c r="P72" s="429"/>
      <c r="Q72" s="429"/>
      <c r="R72" s="429"/>
    </row>
    <row r="73" spans="1:18" ht="19.899999999999999" customHeight="1">
      <c r="A73" s="551">
        <v>3</v>
      </c>
      <c r="B73" s="442" t="s">
        <v>947</v>
      </c>
      <c r="C73" s="442"/>
      <c r="D73" s="442"/>
      <c r="E73" s="442"/>
      <c r="F73" s="442"/>
      <c r="G73" s="443"/>
      <c r="H73" s="442"/>
      <c r="I73" s="443"/>
      <c r="J73" s="442"/>
      <c r="K73" s="442"/>
      <c r="L73" s="442"/>
      <c r="M73" s="444"/>
      <c r="O73" s="445"/>
      <c r="P73" s="445"/>
      <c r="Q73" s="445"/>
      <c r="R73" s="445"/>
    </row>
    <row r="74" spans="1:18" ht="19.899999999999999" customHeight="1">
      <c r="A74" s="454" t="s">
        <v>948</v>
      </c>
      <c r="B74" s="1192" t="s">
        <v>699</v>
      </c>
      <c r="C74" s="455"/>
      <c r="D74" s="455"/>
      <c r="E74" s="455"/>
      <c r="F74" s="455"/>
      <c r="G74" s="456">
        <f>SUBTOTAL(9,G75:G75)</f>
        <v>6102.62</v>
      </c>
      <c r="H74" s="455"/>
      <c r="I74" s="456">
        <f>SUBTOTAL(9,I75:I75)</f>
        <v>0</v>
      </c>
      <c r="J74" s="455"/>
      <c r="K74" s="868">
        <f>SUBTOTAL(9,K75:K75)</f>
        <v>6102.62</v>
      </c>
      <c r="L74" s="455"/>
      <c r="M74" s="457">
        <f>SUBTOTAL(9,M75:M75)</f>
        <v>6102.62</v>
      </c>
      <c r="N74" s="748"/>
      <c r="O74" s="445"/>
      <c r="P74" s="445"/>
      <c r="Q74" s="445"/>
      <c r="R74" s="445"/>
    </row>
    <row r="75" spans="1:18" ht="22.5" customHeight="1" outlineLevel="1">
      <c r="A75" s="1257" t="s">
        <v>949</v>
      </c>
      <c r="B75" s="1258" t="s">
        <v>950</v>
      </c>
      <c r="C75" s="1259" t="s">
        <v>1000</v>
      </c>
      <c r="D75" s="1260" t="s">
        <v>101</v>
      </c>
      <c r="E75" s="1261">
        <v>6102.62</v>
      </c>
      <c r="F75" s="1262">
        <v>1</v>
      </c>
      <c r="G75" s="555">
        <f>ROUND(E75*F75,2)</f>
        <v>6102.62</v>
      </c>
      <c r="H75" s="1264"/>
      <c r="I75" s="555">
        <f t="shared" ref="I75" si="23">ROUND((E75*H75),2)</f>
        <v>0</v>
      </c>
      <c r="J75" s="1214">
        <f>VLOOKUP(A75,'13 - MEMÓRIA'!$A$1:$R$873,18,FALSE)</f>
        <v>1</v>
      </c>
      <c r="K75" s="1215">
        <f t="shared" ref="K75" si="24">M75-I75</f>
        <v>6102.62</v>
      </c>
      <c r="L75" s="1228">
        <f t="shared" ref="L75" si="25">H75+J75</f>
        <v>1</v>
      </c>
      <c r="M75" s="555">
        <f>ROUND((E75*L75),2)</f>
        <v>6102.62</v>
      </c>
      <c r="N75" s="702"/>
      <c r="O75" s="429"/>
      <c r="P75" s="429"/>
      <c r="Q75" s="429"/>
      <c r="R75" s="429"/>
    </row>
    <row r="76" spans="1:18" ht="19.899999999999999" customHeight="1">
      <c r="A76" s="454" t="s">
        <v>951</v>
      </c>
      <c r="B76" s="1192" t="s">
        <v>952</v>
      </c>
      <c r="C76" s="455"/>
      <c r="D76" s="455"/>
      <c r="E76" s="455"/>
      <c r="F76" s="455"/>
      <c r="G76" s="456">
        <f>SUBTOTAL(9,G77:G89)</f>
        <v>345231.32999999996</v>
      </c>
      <c r="H76" s="455"/>
      <c r="I76" s="456">
        <f>SUBTOTAL(9,I77:I89)</f>
        <v>0</v>
      </c>
      <c r="J76" s="455"/>
      <c r="K76" s="869">
        <f>SUBTOTAL(9,K77:K89)</f>
        <v>338237.29000000004</v>
      </c>
      <c r="L76" s="455"/>
      <c r="M76" s="457">
        <f>SUBTOTAL(9,M77:M89)</f>
        <v>338237.29000000004</v>
      </c>
      <c r="N76" s="993"/>
      <c r="O76" s="994"/>
      <c r="P76" s="445"/>
      <c r="Q76" s="445"/>
      <c r="R76" s="445"/>
    </row>
    <row r="77" spans="1:18" ht="21.75" customHeight="1" outlineLevel="1">
      <c r="A77" s="458" t="s">
        <v>953</v>
      </c>
      <c r="B77" s="642">
        <v>42047</v>
      </c>
      <c r="C77" s="460" t="s">
        <v>954</v>
      </c>
      <c r="D77" s="461" t="s">
        <v>101</v>
      </c>
      <c r="E77" s="1226">
        <v>33.76</v>
      </c>
      <c r="F77" s="1227">
        <v>23</v>
      </c>
      <c r="G77" s="555">
        <f>ROUND(E77*F77,2)</f>
        <v>776.48</v>
      </c>
      <c r="H77" s="1228"/>
      <c r="I77" s="555">
        <f t="shared" ref="I77" si="26">ROUND((E77*H77),2)</f>
        <v>0</v>
      </c>
      <c r="J77" s="1214">
        <f>VLOOKUP(A77,'13 - MEMÓRIA'!$A$1:$R$873,18,FALSE)</f>
        <v>23</v>
      </c>
      <c r="K77" s="1215">
        <f t="shared" ref="K77" si="27">M77-I77</f>
        <v>776.48</v>
      </c>
      <c r="L77" s="1228">
        <f t="shared" ref="L77" si="28">H77+J77</f>
        <v>23</v>
      </c>
      <c r="M77" s="555">
        <f>ROUND((E77*L77),2)</f>
        <v>776.48</v>
      </c>
      <c r="N77" s="702"/>
      <c r="O77" s="429"/>
      <c r="P77" s="429"/>
      <c r="Q77" s="429"/>
      <c r="R77" s="429"/>
    </row>
    <row r="78" spans="1:18" ht="21.75" customHeight="1" outlineLevel="1">
      <c r="A78" s="458" t="s">
        <v>955</v>
      </c>
      <c r="B78" s="642">
        <v>40937</v>
      </c>
      <c r="C78" s="460" t="s">
        <v>956</v>
      </c>
      <c r="D78" s="461" t="s">
        <v>7</v>
      </c>
      <c r="E78" s="1212">
        <v>390.11</v>
      </c>
      <c r="F78" s="1213">
        <v>12</v>
      </c>
      <c r="G78" s="462">
        <f t="shared" ref="G78:G89" si="29">ROUND(E78*F78,2)</f>
        <v>4681.32</v>
      </c>
      <c r="H78" s="1214"/>
      <c r="I78" s="555">
        <f t="shared" ref="I78:I89" si="30">ROUND((E78*H78),2)</f>
        <v>0</v>
      </c>
      <c r="J78" s="1214">
        <f>VLOOKUP(A78,'13 - MEMÓRIA'!$A$1:$R$873,18,FALSE)</f>
        <v>12</v>
      </c>
      <c r="K78" s="1230">
        <f t="shared" ref="K78:K89" si="31">M78-I78</f>
        <v>4681.32</v>
      </c>
      <c r="L78" s="1214">
        <f t="shared" ref="L78:L89" si="32">H78+J78</f>
        <v>12</v>
      </c>
      <c r="M78" s="462">
        <f t="shared" ref="M78:M89" si="33">ROUND((E78*L78),2)</f>
        <v>4681.32</v>
      </c>
      <c r="N78" s="702"/>
      <c r="O78" s="429"/>
      <c r="P78" s="429"/>
      <c r="Q78" s="429"/>
      <c r="R78" s="429"/>
    </row>
    <row r="79" spans="1:18" ht="21.75" customHeight="1" outlineLevel="1">
      <c r="A79" s="458" t="s">
        <v>957</v>
      </c>
      <c r="B79" s="459">
        <v>41359</v>
      </c>
      <c r="C79" s="460" t="s">
        <v>958</v>
      </c>
      <c r="D79" s="461" t="s">
        <v>8</v>
      </c>
      <c r="E79" s="1212">
        <v>18.690000000000001</v>
      </c>
      <c r="F79" s="1213">
        <v>350</v>
      </c>
      <c r="G79" s="462">
        <f t="shared" si="29"/>
        <v>6541.5</v>
      </c>
      <c r="H79" s="1214"/>
      <c r="I79" s="555">
        <f t="shared" si="30"/>
        <v>0</v>
      </c>
      <c r="J79" s="1214">
        <f>VLOOKUP(A79,'13 - MEMÓRIA'!$A$1:$R$873,18,FALSE)</f>
        <v>350</v>
      </c>
      <c r="K79" s="1230">
        <f t="shared" si="31"/>
        <v>6541.5</v>
      </c>
      <c r="L79" s="1214">
        <f t="shared" si="32"/>
        <v>350</v>
      </c>
      <c r="M79" s="462">
        <f t="shared" si="33"/>
        <v>6541.5</v>
      </c>
      <c r="N79" s="702"/>
      <c r="O79" s="429"/>
      <c r="P79" s="429"/>
      <c r="Q79" s="429"/>
      <c r="R79" s="429"/>
    </row>
    <row r="80" spans="1:18" ht="21.75" customHeight="1" outlineLevel="1">
      <c r="A80" s="458" t="s">
        <v>959</v>
      </c>
      <c r="B80" s="459">
        <v>41040</v>
      </c>
      <c r="C80" s="460" t="s">
        <v>960</v>
      </c>
      <c r="D80" s="461" t="s">
        <v>7</v>
      </c>
      <c r="E80" s="1212">
        <v>25.26</v>
      </c>
      <c r="F80" s="1213">
        <v>308</v>
      </c>
      <c r="G80" s="462">
        <f t="shared" si="29"/>
        <v>7780.08</v>
      </c>
      <c r="H80" s="1214"/>
      <c r="I80" s="555">
        <f t="shared" si="30"/>
        <v>0</v>
      </c>
      <c r="J80" s="1214">
        <f>VLOOKUP(A80,'13 - MEMÓRIA'!$A$1:$R$873,18,FALSE)</f>
        <v>306.35500000000002</v>
      </c>
      <c r="K80" s="1230">
        <f t="shared" si="31"/>
        <v>7738.53</v>
      </c>
      <c r="L80" s="1214">
        <f t="shared" si="32"/>
        <v>306.35500000000002</v>
      </c>
      <c r="M80" s="462">
        <f t="shared" si="33"/>
        <v>7738.53</v>
      </c>
      <c r="N80" s="702"/>
      <c r="O80" s="429"/>
      <c r="P80" s="429"/>
      <c r="Q80" s="429"/>
      <c r="R80" s="429"/>
    </row>
    <row r="81" spans="1:18" ht="21.75" customHeight="1" outlineLevel="1">
      <c r="A81" s="458" t="s">
        <v>961</v>
      </c>
      <c r="B81" s="459">
        <v>41241</v>
      </c>
      <c r="C81" s="460" t="s">
        <v>962</v>
      </c>
      <c r="D81" s="461" t="s">
        <v>101</v>
      </c>
      <c r="E81" s="1226">
        <v>1201.44</v>
      </c>
      <c r="F81" s="1227">
        <v>50</v>
      </c>
      <c r="G81" s="555">
        <f t="shared" si="29"/>
        <v>60072</v>
      </c>
      <c r="H81" s="1228"/>
      <c r="I81" s="555">
        <f t="shared" si="30"/>
        <v>0</v>
      </c>
      <c r="J81" s="1214">
        <f>VLOOKUP(A81,'13 - MEMÓRIA'!$A$1:$R$873,18,FALSE)</f>
        <v>50</v>
      </c>
      <c r="K81" s="1215">
        <f t="shared" si="31"/>
        <v>60072</v>
      </c>
      <c r="L81" s="1228">
        <f t="shared" si="32"/>
        <v>50</v>
      </c>
      <c r="M81" s="555">
        <f t="shared" si="33"/>
        <v>60072</v>
      </c>
      <c r="N81" s="702"/>
      <c r="O81" s="429"/>
      <c r="P81" s="429"/>
      <c r="Q81" s="429"/>
      <c r="R81" s="429"/>
    </row>
    <row r="82" spans="1:18" ht="21.75" customHeight="1" outlineLevel="1">
      <c r="A82" s="458" t="s">
        <v>963</v>
      </c>
      <c r="B82" s="459">
        <v>7260100010</v>
      </c>
      <c r="C82" s="460" t="s">
        <v>1044</v>
      </c>
      <c r="D82" s="461" t="s">
        <v>8</v>
      </c>
      <c r="E82" s="1212">
        <v>107.85</v>
      </c>
      <c r="F82" s="1213">
        <v>303</v>
      </c>
      <c r="G82" s="462">
        <f t="shared" si="29"/>
        <v>32678.55</v>
      </c>
      <c r="H82" s="1214"/>
      <c r="I82" s="555">
        <f t="shared" si="30"/>
        <v>0</v>
      </c>
      <c r="J82" s="1214">
        <f>VLOOKUP(A82,'13 - MEMÓRIA'!$A$1:$R$873,18,FALSE)</f>
        <v>303</v>
      </c>
      <c r="K82" s="1230">
        <f t="shared" si="31"/>
        <v>32678.55</v>
      </c>
      <c r="L82" s="1214">
        <f t="shared" si="32"/>
        <v>303</v>
      </c>
      <c r="M82" s="462">
        <f t="shared" si="33"/>
        <v>32678.55</v>
      </c>
      <c r="N82" s="702"/>
      <c r="O82" s="429"/>
      <c r="P82" s="429"/>
      <c r="Q82" s="429"/>
      <c r="R82" s="429"/>
    </row>
    <row r="83" spans="1:18" ht="21.75" customHeight="1" outlineLevel="1">
      <c r="A83" s="458" t="s">
        <v>964</v>
      </c>
      <c r="B83" s="642">
        <v>7260100290</v>
      </c>
      <c r="C83" s="460" t="s">
        <v>1045</v>
      </c>
      <c r="D83" s="461" t="s">
        <v>8</v>
      </c>
      <c r="E83" s="1226">
        <v>132.5</v>
      </c>
      <c r="F83" s="1227">
        <v>7</v>
      </c>
      <c r="G83" s="555">
        <f t="shared" si="29"/>
        <v>927.5</v>
      </c>
      <c r="H83" s="1228"/>
      <c r="I83" s="555">
        <f t="shared" si="30"/>
        <v>0</v>
      </c>
      <c r="J83" s="1214">
        <f>VLOOKUP(A83,'13 - MEMÓRIA'!$A$1:$R$873,18,FALSE)</f>
        <v>7</v>
      </c>
      <c r="K83" s="1215">
        <f t="shared" si="31"/>
        <v>927.5</v>
      </c>
      <c r="L83" s="1228">
        <f t="shared" si="32"/>
        <v>7</v>
      </c>
      <c r="M83" s="555">
        <f t="shared" si="33"/>
        <v>927.5</v>
      </c>
      <c r="N83" s="702"/>
      <c r="O83" s="429"/>
      <c r="P83" s="429"/>
      <c r="Q83" s="429"/>
      <c r="R83" s="429"/>
    </row>
    <row r="84" spans="1:18" ht="21.75" customHeight="1" outlineLevel="1">
      <c r="A84" s="458" t="s">
        <v>965</v>
      </c>
      <c r="B84" s="642">
        <v>7200100050</v>
      </c>
      <c r="C84" s="460" t="s">
        <v>999</v>
      </c>
      <c r="D84" s="461" t="s">
        <v>101</v>
      </c>
      <c r="E84" s="1226">
        <v>399.25</v>
      </c>
      <c r="F84" s="1227">
        <v>47</v>
      </c>
      <c r="G84" s="555">
        <f t="shared" si="29"/>
        <v>18764.75</v>
      </c>
      <c r="H84" s="1228"/>
      <c r="I84" s="555">
        <f t="shared" si="30"/>
        <v>0</v>
      </c>
      <c r="J84" s="1214">
        <f>VLOOKUP(A84,'13 - MEMÓRIA'!$A$1:$R$873,18,FALSE)</f>
        <v>47</v>
      </c>
      <c r="K84" s="1215">
        <f t="shared" si="31"/>
        <v>18764.75</v>
      </c>
      <c r="L84" s="1228">
        <f t="shared" si="32"/>
        <v>47</v>
      </c>
      <c r="M84" s="555">
        <f t="shared" si="33"/>
        <v>18764.75</v>
      </c>
      <c r="N84" s="702"/>
      <c r="O84" s="429"/>
      <c r="P84" s="429"/>
      <c r="Q84" s="429"/>
      <c r="R84" s="429"/>
    </row>
    <row r="85" spans="1:18" ht="21.75" customHeight="1" outlineLevel="1">
      <c r="A85" s="458" t="s">
        <v>966</v>
      </c>
      <c r="B85" s="459">
        <v>7250100010</v>
      </c>
      <c r="C85" s="460" t="s">
        <v>1046</v>
      </c>
      <c r="D85" s="461" t="s">
        <v>8</v>
      </c>
      <c r="E85" s="1212">
        <v>48.24</v>
      </c>
      <c r="F85" s="1213">
        <v>36</v>
      </c>
      <c r="G85" s="462">
        <f t="shared" si="29"/>
        <v>1736.64</v>
      </c>
      <c r="H85" s="1214"/>
      <c r="I85" s="555">
        <f t="shared" si="30"/>
        <v>0</v>
      </c>
      <c r="J85" s="1214">
        <f>VLOOKUP(A85,'13 - MEMÓRIA'!$A$1:$R$873,18,FALSE)</f>
        <v>36</v>
      </c>
      <c r="K85" s="1230">
        <f t="shared" si="31"/>
        <v>1736.64</v>
      </c>
      <c r="L85" s="1214">
        <f t="shared" si="32"/>
        <v>36</v>
      </c>
      <c r="M85" s="462">
        <f t="shared" si="33"/>
        <v>1736.64</v>
      </c>
      <c r="N85" s="702"/>
      <c r="O85" s="429"/>
      <c r="P85" s="429"/>
      <c r="Q85" s="429"/>
      <c r="R85" s="429"/>
    </row>
    <row r="86" spans="1:18" ht="21.75" customHeight="1" outlineLevel="1">
      <c r="A86" s="458" t="s">
        <v>967</v>
      </c>
      <c r="B86" s="459">
        <v>7200100090</v>
      </c>
      <c r="C86" s="460" t="s">
        <v>1047</v>
      </c>
      <c r="D86" s="461" t="s">
        <v>101</v>
      </c>
      <c r="E86" s="1212">
        <v>186.88</v>
      </c>
      <c r="F86" s="1213">
        <v>38</v>
      </c>
      <c r="G86" s="462">
        <f t="shared" si="29"/>
        <v>7101.44</v>
      </c>
      <c r="H86" s="1214"/>
      <c r="I86" s="555">
        <f t="shared" si="30"/>
        <v>0</v>
      </c>
      <c r="J86" s="1214">
        <f>VLOOKUP(A86,'13 - MEMÓRIA'!$A$1:$R$873,18,FALSE)</f>
        <v>38</v>
      </c>
      <c r="K86" s="1230">
        <f t="shared" si="31"/>
        <v>7101.44</v>
      </c>
      <c r="L86" s="1214">
        <f t="shared" si="32"/>
        <v>38</v>
      </c>
      <c r="M86" s="462">
        <f t="shared" si="33"/>
        <v>7101.44</v>
      </c>
      <c r="N86" s="702"/>
      <c r="O86" s="429"/>
      <c r="P86" s="429"/>
      <c r="Q86" s="429"/>
      <c r="R86" s="429"/>
    </row>
    <row r="87" spans="1:18" ht="25.5" outlineLevel="1">
      <c r="A87" s="1798" t="s">
        <v>968</v>
      </c>
      <c r="B87" s="1799">
        <v>42499</v>
      </c>
      <c r="C87" s="1800" t="s">
        <v>969</v>
      </c>
      <c r="D87" s="1801" t="s">
        <v>7</v>
      </c>
      <c r="E87" s="1802">
        <v>77.98</v>
      </c>
      <c r="F87" s="1803">
        <v>2310.56</v>
      </c>
      <c r="G87" s="1804">
        <f t="shared" si="29"/>
        <v>180177.47</v>
      </c>
      <c r="H87" s="1805"/>
      <c r="I87" s="1804">
        <f t="shared" si="30"/>
        <v>0</v>
      </c>
      <c r="J87" s="1805">
        <f>VLOOKUP(A87,'13 - MEMÓRIA'!$A$1:$R$873,18,FALSE)</f>
        <v>2310.56</v>
      </c>
      <c r="K87" s="1806">
        <f t="shared" si="31"/>
        <v>180177.47</v>
      </c>
      <c r="L87" s="1805">
        <f t="shared" si="32"/>
        <v>2310.56</v>
      </c>
      <c r="M87" s="1804">
        <f t="shared" si="33"/>
        <v>180177.47</v>
      </c>
      <c r="N87" s="702"/>
      <c r="O87" s="429"/>
      <c r="P87" s="429"/>
      <c r="Q87" s="429"/>
      <c r="R87" s="429"/>
    </row>
    <row r="88" spans="1:18" ht="21.75" customHeight="1" outlineLevel="1">
      <c r="A88" s="458" t="s">
        <v>970</v>
      </c>
      <c r="B88" s="642">
        <v>40895</v>
      </c>
      <c r="C88" s="460" t="s">
        <v>971</v>
      </c>
      <c r="D88" s="461" t="s">
        <v>8</v>
      </c>
      <c r="E88" s="1212">
        <v>47.75</v>
      </c>
      <c r="F88" s="1213">
        <v>110</v>
      </c>
      <c r="G88" s="462">
        <f t="shared" si="29"/>
        <v>5252.5</v>
      </c>
      <c r="H88" s="1214"/>
      <c r="I88" s="555">
        <f t="shared" si="30"/>
        <v>0</v>
      </c>
      <c r="J88" s="1214">
        <f>VLOOKUP(A88,'13 - MEMÓRIA'!$A$1:$R$873,18,FALSE)</f>
        <v>110</v>
      </c>
      <c r="K88" s="1230">
        <f t="shared" si="31"/>
        <v>5252.5</v>
      </c>
      <c r="L88" s="1214">
        <f t="shared" si="32"/>
        <v>110</v>
      </c>
      <c r="M88" s="462">
        <f t="shared" si="33"/>
        <v>5252.5</v>
      </c>
      <c r="N88" s="702"/>
      <c r="O88" s="429"/>
      <c r="P88" s="429"/>
      <c r="Q88" s="429"/>
      <c r="R88" s="429"/>
    </row>
    <row r="89" spans="1:18" ht="24" customHeight="1" outlineLevel="1">
      <c r="A89" s="458" t="s">
        <v>972</v>
      </c>
      <c r="B89" s="642">
        <v>40663</v>
      </c>
      <c r="C89" s="460" t="s">
        <v>973</v>
      </c>
      <c r="D89" s="461" t="s">
        <v>8</v>
      </c>
      <c r="E89" s="1212">
        <v>45.71</v>
      </c>
      <c r="F89" s="1213">
        <v>410</v>
      </c>
      <c r="G89" s="462">
        <f t="shared" si="29"/>
        <v>18741.099999999999</v>
      </c>
      <c r="H89" s="1214"/>
      <c r="I89" s="555">
        <f t="shared" si="30"/>
        <v>0</v>
      </c>
      <c r="J89" s="1214">
        <f>VLOOKUP(A89,'13 - MEMÓRIA'!$A$1:$R$873,18,FALSE)</f>
        <v>257.89999999999998</v>
      </c>
      <c r="K89" s="1230">
        <f t="shared" si="31"/>
        <v>11788.61</v>
      </c>
      <c r="L89" s="1214">
        <f t="shared" si="32"/>
        <v>257.89999999999998</v>
      </c>
      <c r="M89" s="462">
        <f t="shared" si="33"/>
        <v>11788.61</v>
      </c>
      <c r="N89" s="702"/>
      <c r="O89" s="429"/>
      <c r="P89" s="429"/>
      <c r="Q89" s="429"/>
      <c r="R89" s="429"/>
    </row>
    <row r="90" spans="1:18" ht="19.899999999999999" customHeight="1">
      <c r="A90" s="1186"/>
      <c r="B90" s="1187"/>
      <c r="C90" s="2411"/>
      <c r="D90" s="2412"/>
      <c r="E90" s="2412"/>
      <c r="F90" s="2413"/>
      <c r="G90" s="1225">
        <f>SUBTOTAL(9,$G$74:$G$89)</f>
        <v>351333.94999999995</v>
      </c>
      <c r="H90" s="1232"/>
      <c r="I90" s="466">
        <f>SUBTOTAL(9,$I$74:$I$89)</f>
        <v>0</v>
      </c>
      <c r="J90" s="1232"/>
      <c r="K90" s="466">
        <f>SUBTOTAL(9,$K$74:$K$89)</f>
        <v>344339.91000000003</v>
      </c>
      <c r="L90" s="1232"/>
      <c r="M90" s="466">
        <f>SUBTOTAL(9,$M$74:$M$89)</f>
        <v>344339.91000000003</v>
      </c>
      <c r="N90" s="990"/>
      <c r="O90" s="429"/>
      <c r="P90" s="429"/>
      <c r="Q90" s="429"/>
      <c r="R90" s="429"/>
    </row>
    <row r="91" spans="1:18" ht="20.100000000000001" customHeight="1">
      <c r="A91" s="2407"/>
      <c r="B91" s="2408"/>
      <c r="C91" s="2408"/>
      <c r="D91" s="2408"/>
      <c r="E91" s="1272"/>
      <c r="F91" s="1273" t="s">
        <v>692</v>
      </c>
      <c r="G91" s="1274">
        <f>SUBTOTAL(9,G16:G90)</f>
        <v>3620288.7888000007</v>
      </c>
      <c r="H91" s="1275"/>
      <c r="I91" s="1274">
        <f>SUBTOTAL(9,I16:I90)</f>
        <v>2405121.2999999998</v>
      </c>
      <c r="J91" s="1275"/>
      <c r="K91" s="1274">
        <f>SUBTOTAL(9,K16:K90)</f>
        <v>806270</v>
      </c>
      <c r="L91" s="1275"/>
      <c r="M91" s="1274">
        <f>SUBTOTAL(9,M16:M90)</f>
        <v>3211391.3</v>
      </c>
      <c r="N91" s="989"/>
      <c r="O91" s="429"/>
      <c r="P91" s="429"/>
      <c r="Q91" s="429"/>
      <c r="R91" s="429"/>
    </row>
    <row r="92" spans="1:18" ht="19.899999999999999" customHeight="1">
      <c r="A92" s="1233"/>
      <c r="B92" s="1234"/>
      <c r="C92" s="1234"/>
      <c r="D92" s="1234"/>
      <c r="E92" s="1234"/>
      <c r="F92" s="1235"/>
      <c r="G92" s="1660">
        <v>3620288.7891048184</v>
      </c>
      <c r="H92" s="1236"/>
      <c r="I92" s="467"/>
      <c r="J92" s="427"/>
      <c r="K92" s="468">
        <v>806270</v>
      </c>
      <c r="L92" s="468"/>
      <c r="M92" s="1734">
        <f>I91+K91</f>
        <v>3211391.3</v>
      </c>
      <c r="N92" s="1940">
        <f>G91-M91</f>
        <v>408897.48880000087</v>
      </c>
      <c r="O92" s="429"/>
      <c r="P92" s="429"/>
      <c r="Q92" s="429"/>
      <c r="R92" s="429"/>
    </row>
    <row r="93" spans="1:18" ht="19.899999999999999" customHeight="1">
      <c r="A93" s="1233"/>
      <c r="B93" s="1234"/>
      <c r="C93" s="1237"/>
      <c r="D93" s="1234"/>
      <c r="E93" s="469"/>
      <c r="F93" s="1238"/>
      <c r="G93" s="467"/>
      <c r="H93" s="1236"/>
      <c r="I93" s="992"/>
      <c r="J93" s="427"/>
      <c r="K93" s="427"/>
      <c r="L93" s="468"/>
      <c r="M93" s="467"/>
      <c r="N93" s="1940" t="s">
        <v>1106</v>
      </c>
      <c r="O93" s="429"/>
      <c r="P93" s="429"/>
      <c r="Q93" s="429"/>
      <c r="R93" s="429"/>
    </row>
    <row r="94" spans="1:18" ht="19.899999999999999" customHeight="1">
      <c r="A94" s="421"/>
      <c r="B94" s="422"/>
      <c r="C94" s="470"/>
      <c r="D94" s="422"/>
      <c r="E94" s="428"/>
      <c r="F94" s="423"/>
      <c r="G94" s="424"/>
      <c r="H94" s="425"/>
      <c r="I94" s="426"/>
      <c r="J94" s="427"/>
      <c r="K94" s="428">
        <v>4199.1949999999997</v>
      </c>
      <c r="L94" s="427"/>
      <c r="M94" s="991"/>
      <c r="N94" s="702"/>
      <c r="O94" s="429"/>
      <c r="P94" s="429"/>
      <c r="Q94" s="429"/>
      <c r="R94" s="429"/>
    </row>
    <row r="95" spans="1:18" ht="19.899999999999999" customHeight="1">
      <c r="A95" s="421"/>
      <c r="B95" s="422"/>
      <c r="C95" s="471"/>
      <c r="D95" s="422"/>
      <c r="E95" s="428"/>
      <c r="F95" s="423"/>
      <c r="G95" s="424"/>
      <c r="H95" s="425"/>
      <c r="I95" s="426"/>
      <c r="K95" s="428"/>
      <c r="L95" s="428"/>
      <c r="M95" s="426"/>
      <c r="N95" s="702"/>
      <c r="O95" s="429"/>
      <c r="P95" s="429"/>
      <c r="Q95" s="429"/>
      <c r="R95" s="429"/>
    </row>
    <row r="96" spans="1:18" ht="19.899999999999999" customHeight="1">
      <c r="A96" s="421"/>
      <c r="B96" s="422"/>
      <c r="C96" s="471"/>
      <c r="D96" s="422"/>
      <c r="E96" s="428"/>
      <c r="F96" s="423"/>
      <c r="G96" s="424"/>
      <c r="H96" s="425"/>
      <c r="I96" s="426"/>
      <c r="J96" s="427"/>
      <c r="K96" s="428"/>
      <c r="L96" s="428"/>
      <c r="M96" s="426"/>
      <c r="N96" s="702"/>
      <c r="O96" s="429"/>
      <c r="P96" s="429"/>
      <c r="Q96" s="429"/>
      <c r="R96" s="429"/>
    </row>
    <row r="97" spans="1:26" ht="19.899999999999999" customHeight="1">
      <c r="A97" s="421"/>
      <c r="B97" s="422"/>
      <c r="C97" s="470"/>
      <c r="D97" s="422"/>
      <c r="E97" s="422"/>
      <c r="F97" s="423"/>
      <c r="G97" s="424"/>
      <c r="H97" s="425"/>
      <c r="I97" s="426"/>
      <c r="J97" s="427"/>
      <c r="K97" s="428"/>
      <c r="L97" s="428"/>
      <c r="M97" s="426"/>
    </row>
    <row r="98" spans="1:26" ht="19.899999999999999" customHeight="1"/>
    <row r="99" spans="1:26" ht="19.899999999999999" customHeight="1"/>
    <row r="100" spans="1:26" ht="19.899999999999999" customHeight="1"/>
    <row r="101" spans="1:26" ht="19.899999999999999" customHeight="1"/>
    <row r="102" spans="1:26" ht="19.899999999999999" customHeight="1"/>
    <row r="103" spans="1:26" ht="19.899999999999999" customHeight="1"/>
    <row r="104" spans="1:26" ht="19.899999999999999" customHeight="1"/>
    <row r="105" spans="1:26" ht="19.899999999999999" customHeight="1"/>
    <row r="106" spans="1:26" ht="19.899999999999999" customHeight="1"/>
    <row r="107" spans="1:26" ht="19.899999999999999" customHeight="1"/>
    <row r="108" spans="1:26" s="1239" customFormat="1" ht="19.899999999999999" customHeight="1">
      <c r="B108" s="839"/>
      <c r="C108" s="839"/>
      <c r="D108" s="839"/>
      <c r="E108" s="839"/>
      <c r="F108" s="839"/>
      <c r="G108" s="839"/>
      <c r="H108" s="839"/>
      <c r="I108" s="839"/>
      <c r="J108" s="839"/>
      <c r="K108" s="839"/>
      <c r="L108" s="839"/>
      <c r="M108" s="839"/>
      <c r="N108" s="345"/>
      <c r="O108" s="839"/>
      <c r="P108" s="839"/>
      <c r="Q108" s="839"/>
      <c r="R108" s="839"/>
      <c r="S108" s="839"/>
      <c r="T108" s="839"/>
      <c r="U108" s="839"/>
      <c r="V108" s="839"/>
      <c r="W108" s="839"/>
      <c r="X108" s="839"/>
      <c r="Y108" s="839"/>
      <c r="Z108" s="839"/>
    </row>
    <row r="109" spans="1:26" s="1239" customFormat="1" ht="19.899999999999999" customHeight="1">
      <c r="B109" s="839"/>
      <c r="C109" s="839"/>
      <c r="D109" s="839"/>
      <c r="E109" s="839"/>
      <c r="F109" s="839"/>
      <c r="G109" s="839"/>
      <c r="H109" s="839"/>
      <c r="I109" s="839"/>
      <c r="J109" s="839"/>
      <c r="K109" s="839"/>
      <c r="L109" s="839"/>
      <c r="M109" s="839"/>
      <c r="N109" s="345"/>
      <c r="O109" s="839"/>
      <c r="P109" s="839"/>
      <c r="Q109" s="839"/>
      <c r="R109" s="839"/>
      <c r="S109" s="839"/>
      <c r="T109" s="839"/>
      <c r="U109" s="839"/>
      <c r="V109" s="839"/>
      <c r="W109" s="839"/>
      <c r="X109" s="839"/>
      <c r="Y109" s="839"/>
      <c r="Z109" s="839"/>
    </row>
    <row r="110" spans="1:26" s="1239" customFormat="1" ht="19.899999999999999" customHeight="1">
      <c r="B110" s="839"/>
      <c r="C110" s="839"/>
      <c r="D110" s="839"/>
      <c r="E110" s="839"/>
      <c r="F110" s="839"/>
      <c r="G110" s="839"/>
      <c r="H110" s="839"/>
      <c r="I110" s="839"/>
      <c r="J110" s="839"/>
      <c r="K110" s="839"/>
      <c r="L110" s="839"/>
      <c r="M110" s="839"/>
      <c r="N110" s="345"/>
      <c r="O110" s="839"/>
      <c r="P110" s="839"/>
      <c r="Q110" s="839"/>
      <c r="R110" s="839"/>
      <c r="S110" s="839"/>
      <c r="T110" s="839"/>
      <c r="U110" s="839"/>
      <c r="V110" s="839"/>
      <c r="W110" s="839"/>
      <c r="X110" s="839"/>
      <c r="Y110" s="839"/>
      <c r="Z110" s="839"/>
    </row>
    <row r="111" spans="1:26" s="1239" customFormat="1" ht="19.899999999999999" customHeight="1">
      <c r="B111" s="839"/>
      <c r="C111" s="839"/>
      <c r="D111" s="839"/>
      <c r="E111" s="839"/>
      <c r="F111" s="839"/>
      <c r="G111" s="839"/>
      <c r="H111" s="839"/>
      <c r="I111" s="839"/>
      <c r="J111" s="839"/>
      <c r="K111" s="839"/>
      <c r="L111" s="839"/>
      <c r="M111" s="839"/>
      <c r="N111" s="345"/>
      <c r="O111" s="839"/>
      <c r="P111" s="839"/>
      <c r="Q111" s="839"/>
      <c r="R111" s="839"/>
      <c r="S111" s="839"/>
      <c r="T111" s="839"/>
      <c r="U111" s="839"/>
      <c r="V111" s="839"/>
      <c r="W111" s="839"/>
      <c r="X111" s="839"/>
      <c r="Y111" s="839"/>
      <c r="Z111" s="839"/>
    </row>
    <row r="112" spans="1:26" s="1239" customFormat="1" ht="19.899999999999999" customHeight="1">
      <c r="B112" s="839"/>
      <c r="C112" s="839"/>
      <c r="D112" s="839"/>
      <c r="E112" s="839"/>
      <c r="F112" s="839"/>
      <c r="G112" s="839"/>
      <c r="H112" s="839"/>
      <c r="I112" s="839"/>
      <c r="J112" s="839"/>
      <c r="K112" s="839"/>
      <c r="L112" s="839"/>
      <c r="M112" s="839"/>
      <c r="N112" s="345"/>
      <c r="O112" s="839"/>
      <c r="P112" s="839"/>
      <c r="Q112" s="839"/>
      <c r="R112" s="839"/>
      <c r="S112" s="839"/>
      <c r="T112" s="839"/>
      <c r="U112" s="839"/>
      <c r="V112" s="839"/>
      <c r="W112" s="839"/>
      <c r="X112" s="839"/>
      <c r="Y112" s="839"/>
      <c r="Z112" s="839"/>
    </row>
    <row r="113" spans="2:26" s="1239" customFormat="1" ht="19.899999999999999" customHeight="1">
      <c r="B113" s="839"/>
      <c r="C113" s="839"/>
      <c r="D113" s="839"/>
      <c r="E113" s="839"/>
      <c r="F113" s="839"/>
      <c r="G113" s="839"/>
      <c r="H113" s="839"/>
      <c r="I113" s="839"/>
      <c r="J113" s="839"/>
      <c r="K113" s="839"/>
      <c r="L113" s="839"/>
      <c r="M113" s="839"/>
      <c r="N113" s="345"/>
      <c r="O113" s="839"/>
      <c r="P113" s="839"/>
      <c r="Q113" s="839"/>
      <c r="R113" s="839"/>
      <c r="S113" s="839"/>
      <c r="T113" s="839"/>
      <c r="U113" s="839"/>
      <c r="V113" s="839"/>
      <c r="W113" s="839"/>
      <c r="X113" s="839"/>
      <c r="Y113" s="839"/>
      <c r="Z113" s="839"/>
    </row>
    <row r="114" spans="2:26" s="1239" customFormat="1" ht="19.899999999999999" customHeight="1">
      <c r="B114" s="839"/>
      <c r="C114" s="839"/>
      <c r="D114" s="839"/>
      <c r="E114" s="839"/>
      <c r="F114" s="839"/>
      <c r="G114" s="839"/>
      <c r="H114" s="839"/>
      <c r="I114" s="839"/>
      <c r="J114" s="839"/>
      <c r="K114" s="839"/>
      <c r="L114" s="839"/>
      <c r="M114" s="839"/>
      <c r="N114" s="345"/>
      <c r="O114" s="839"/>
      <c r="P114" s="839"/>
      <c r="Q114" s="839"/>
      <c r="R114" s="839"/>
      <c r="S114" s="839"/>
      <c r="T114" s="839"/>
      <c r="U114" s="839"/>
      <c r="V114" s="839"/>
      <c r="W114" s="839"/>
      <c r="X114" s="839"/>
      <c r="Y114" s="839"/>
      <c r="Z114" s="839"/>
    </row>
    <row r="115" spans="2:26" s="1239" customFormat="1" ht="19.899999999999999" customHeight="1">
      <c r="B115" s="839"/>
      <c r="C115" s="839"/>
      <c r="D115" s="839"/>
      <c r="E115" s="839"/>
      <c r="F115" s="839"/>
      <c r="G115" s="839"/>
      <c r="H115" s="839"/>
      <c r="I115" s="839"/>
      <c r="J115" s="839"/>
      <c r="K115" s="839"/>
      <c r="L115" s="839"/>
      <c r="M115" s="839"/>
      <c r="N115" s="345"/>
      <c r="O115" s="839"/>
      <c r="P115" s="839"/>
      <c r="Q115" s="839"/>
      <c r="R115" s="839"/>
      <c r="S115" s="839"/>
      <c r="T115" s="839"/>
      <c r="U115" s="839"/>
      <c r="V115" s="839"/>
      <c r="W115" s="839"/>
      <c r="X115" s="839"/>
      <c r="Y115" s="839"/>
      <c r="Z115" s="839"/>
    </row>
    <row r="116" spans="2:26" s="1239" customFormat="1" ht="19.899999999999999" customHeight="1">
      <c r="B116" s="839"/>
      <c r="C116" s="839"/>
      <c r="D116" s="839"/>
      <c r="E116" s="839"/>
      <c r="F116" s="839"/>
      <c r="G116" s="839"/>
      <c r="H116" s="839"/>
      <c r="I116" s="839"/>
      <c r="J116" s="839"/>
      <c r="K116" s="839"/>
      <c r="L116" s="839"/>
      <c r="M116" s="839"/>
      <c r="N116" s="345"/>
      <c r="O116" s="839"/>
      <c r="P116" s="839"/>
      <c r="Q116" s="839"/>
      <c r="R116" s="839"/>
      <c r="S116" s="839"/>
      <c r="T116" s="839"/>
      <c r="U116" s="839"/>
      <c r="V116" s="839"/>
      <c r="W116" s="839"/>
      <c r="X116" s="839"/>
      <c r="Y116" s="839"/>
      <c r="Z116" s="839"/>
    </row>
    <row r="117" spans="2:26" s="1239" customFormat="1" ht="19.899999999999999" customHeight="1">
      <c r="B117" s="839"/>
      <c r="C117" s="839"/>
      <c r="D117" s="839"/>
      <c r="E117" s="839"/>
      <c r="F117" s="839"/>
      <c r="G117" s="839"/>
      <c r="H117" s="839"/>
      <c r="I117" s="839"/>
      <c r="J117" s="839"/>
      <c r="K117" s="839"/>
      <c r="L117" s="839"/>
      <c r="M117" s="839"/>
      <c r="N117" s="345"/>
      <c r="O117" s="839"/>
      <c r="P117" s="839"/>
      <c r="Q117" s="839"/>
      <c r="R117" s="839"/>
      <c r="S117" s="839"/>
      <c r="T117" s="839"/>
      <c r="U117" s="839"/>
      <c r="V117" s="839"/>
      <c r="W117" s="839"/>
      <c r="X117" s="839"/>
      <c r="Y117" s="839"/>
      <c r="Z117" s="839"/>
    </row>
    <row r="118" spans="2:26" s="1239" customFormat="1" ht="19.899999999999999" customHeight="1">
      <c r="B118" s="839"/>
      <c r="C118" s="839"/>
      <c r="D118" s="839"/>
      <c r="E118" s="839"/>
      <c r="F118" s="839"/>
      <c r="G118" s="839"/>
      <c r="H118" s="839"/>
      <c r="I118" s="839"/>
      <c r="J118" s="839"/>
      <c r="K118" s="839"/>
      <c r="L118" s="839"/>
      <c r="M118" s="839"/>
      <c r="N118" s="345"/>
      <c r="O118" s="839"/>
      <c r="P118" s="839"/>
      <c r="Q118" s="839"/>
      <c r="R118" s="839"/>
      <c r="S118" s="839"/>
      <c r="T118" s="839"/>
      <c r="U118" s="839"/>
      <c r="V118" s="839"/>
      <c r="W118" s="839"/>
      <c r="X118" s="839"/>
      <c r="Y118" s="839"/>
      <c r="Z118" s="839"/>
    </row>
    <row r="119" spans="2:26" s="1239" customFormat="1" ht="19.899999999999999" customHeight="1">
      <c r="B119" s="839"/>
      <c r="C119" s="839"/>
      <c r="D119" s="839"/>
      <c r="E119" s="839"/>
      <c r="F119" s="839"/>
      <c r="G119" s="839"/>
      <c r="H119" s="839"/>
      <c r="I119" s="839"/>
      <c r="J119" s="839"/>
      <c r="K119" s="839"/>
      <c r="L119" s="839"/>
      <c r="M119" s="839"/>
      <c r="N119" s="345"/>
      <c r="O119" s="839"/>
      <c r="P119" s="839"/>
      <c r="Q119" s="839"/>
      <c r="R119" s="839"/>
      <c r="S119" s="839"/>
      <c r="T119" s="839"/>
      <c r="U119" s="839"/>
      <c r="V119" s="839"/>
      <c r="W119" s="839"/>
      <c r="X119" s="839"/>
      <c r="Y119" s="839"/>
      <c r="Z119" s="839"/>
    </row>
    <row r="120" spans="2:26" s="1239" customFormat="1" ht="19.899999999999999" customHeight="1">
      <c r="B120" s="839"/>
      <c r="C120" s="839"/>
      <c r="D120" s="839"/>
      <c r="E120" s="839"/>
      <c r="F120" s="839"/>
      <c r="G120" s="839"/>
      <c r="H120" s="839"/>
      <c r="I120" s="839"/>
      <c r="J120" s="839"/>
      <c r="K120" s="839"/>
      <c r="L120" s="839"/>
      <c r="M120" s="839"/>
      <c r="N120" s="345"/>
      <c r="O120" s="839"/>
      <c r="P120" s="839"/>
      <c r="Q120" s="839"/>
      <c r="R120" s="839"/>
      <c r="S120" s="839"/>
      <c r="T120" s="839"/>
      <c r="U120" s="839"/>
      <c r="V120" s="839"/>
      <c r="W120" s="839"/>
      <c r="X120" s="839"/>
      <c r="Y120" s="839"/>
      <c r="Z120" s="839"/>
    </row>
    <row r="121" spans="2:26" s="1239" customFormat="1" ht="19.899999999999999" customHeight="1">
      <c r="B121" s="839"/>
      <c r="C121" s="839"/>
      <c r="D121" s="839"/>
      <c r="E121" s="839"/>
      <c r="F121" s="839"/>
      <c r="G121" s="839"/>
      <c r="H121" s="839"/>
      <c r="I121" s="839"/>
      <c r="J121" s="839"/>
      <c r="K121" s="839"/>
      <c r="L121" s="839"/>
      <c r="M121" s="839"/>
      <c r="N121" s="345"/>
      <c r="O121" s="839"/>
      <c r="P121" s="839"/>
      <c r="Q121" s="839"/>
      <c r="R121" s="839"/>
      <c r="S121" s="839"/>
      <c r="T121" s="839"/>
      <c r="U121" s="839"/>
      <c r="V121" s="839"/>
      <c r="W121" s="839"/>
      <c r="X121" s="839"/>
      <c r="Y121" s="839"/>
      <c r="Z121" s="839"/>
    </row>
    <row r="122" spans="2:26" s="1239" customFormat="1" ht="19.899999999999999" customHeight="1">
      <c r="B122" s="839"/>
      <c r="C122" s="839"/>
      <c r="D122" s="839"/>
      <c r="E122" s="839"/>
      <c r="F122" s="839"/>
      <c r="G122" s="839"/>
      <c r="H122" s="839"/>
      <c r="I122" s="839"/>
      <c r="J122" s="839"/>
      <c r="K122" s="839"/>
      <c r="L122" s="839"/>
      <c r="M122" s="839"/>
      <c r="N122" s="345"/>
      <c r="O122" s="839"/>
      <c r="P122" s="839"/>
      <c r="Q122" s="839"/>
      <c r="R122" s="839"/>
      <c r="S122" s="839"/>
      <c r="T122" s="839"/>
      <c r="U122" s="839"/>
      <c r="V122" s="839"/>
      <c r="W122" s="839"/>
      <c r="X122" s="839"/>
      <c r="Y122" s="839"/>
      <c r="Z122" s="839"/>
    </row>
    <row r="123" spans="2:26" s="1239" customFormat="1" ht="19.899999999999999" customHeight="1">
      <c r="B123" s="839"/>
      <c r="C123" s="839"/>
      <c r="D123" s="839"/>
      <c r="E123" s="839"/>
      <c r="F123" s="839"/>
      <c r="G123" s="839"/>
      <c r="H123" s="839"/>
      <c r="I123" s="839"/>
      <c r="J123" s="839"/>
      <c r="K123" s="839"/>
      <c r="L123" s="839"/>
      <c r="M123" s="839"/>
      <c r="N123" s="345"/>
      <c r="O123" s="839"/>
      <c r="P123" s="839"/>
      <c r="Q123" s="839"/>
      <c r="R123" s="839"/>
      <c r="S123" s="839"/>
      <c r="T123" s="839"/>
      <c r="U123" s="839"/>
      <c r="V123" s="839"/>
      <c r="W123" s="839"/>
      <c r="X123" s="839"/>
      <c r="Y123" s="839"/>
      <c r="Z123" s="839"/>
    </row>
    <row r="124" spans="2:26" s="1239" customFormat="1" ht="19.899999999999999" customHeight="1">
      <c r="B124" s="839"/>
      <c r="C124" s="839"/>
      <c r="D124" s="839"/>
      <c r="E124" s="839"/>
      <c r="F124" s="839"/>
      <c r="G124" s="839"/>
      <c r="H124" s="839"/>
      <c r="I124" s="839"/>
      <c r="J124" s="839"/>
      <c r="K124" s="839"/>
      <c r="L124" s="839"/>
      <c r="M124" s="839"/>
      <c r="N124" s="345"/>
      <c r="O124" s="839"/>
      <c r="P124" s="839"/>
      <c r="Q124" s="839"/>
      <c r="R124" s="839"/>
      <c r="S124" s="839"/>
      <c r="T124" s="839"/>
      <c r="U124" s="839"/>
      <c r="V124" s="839"/>
      <c r="W124" s="839"/>
      <c r="X124" s="839"/>
      <c r="Y124" s="839"/>
      <c r="Z124" s="839"/>
    </row>
    <row r="125" spans="2:26" s="1239" customFormat="1" ht="19.899999999999999" customHeight="1">
      <c r="B125" s="839"/>
      <c r="C125" s="839"/>
      <c r="D125" s="839"/>
      <c r="E125" s="839"/>
      <c r="F125" s="839"/>
      <c r="G125" s="839"/>
      <c r="H125" s="839"/>
      <c r="I125" s="839"/>
      <c r="J125" s="839"/>
      <c r="K125" s="839"/>
      <c r="L125" s="839"/>
      <c r="M125" s="839"/>
      <c r="N125" s="345"/>
      <c r="O125" s="839"/>
      <c r="P125" s="839"/>
      <c r="Q125" s="839"/>
      <c r="R125" s="839"/>
      <c r="S125" s="839"/>
      <c r="T125" s="839"/>
      <c r="U125" s="839"/>
      <c r="V125" s="839"/>
      <c r="W125" s="839"/>
      <c r="X125" s="839"/>
      <c r="Y125" s="839"/>
      <c r="Z125" s="839"/>
    </row>
    <row r="126" spans="2:26" s="1239" customFormat="1" ht="19.899999999999999" customHeight="1">
      <c r="B126" s="839"/>
      <c r="C126" s="839"/>
      <c r="D126" s="839"/>
      <c r="E126" s="839"/>
      <c r="F126" s="839"/>
      <c r="G126" s="839"/>
      <c r="H126" s="839"/>
      <c r="I126" s="839"/>
      <c r="J126" s="839"/>
      <c r="K126" s="839"/>
      <c r="L126" s="839"/>
      <c r="M126" s="839"/>
      <c r="N126" s="345"/>
      <c r="O126" s="839"/>
      <c r="P126" s="839"/>
      <c r="Q126" s="839"/>
      <c r="R126" s="839"/>
      <c r="S126" s="839"/>
      <c r="T126" s="839"/>
      <c r="U126" s="839"/>
      <c r="V126" s="839"/>
      <c r="W126" s="839"/>
      <c r="X126" s="839"/>
      <c r="Y126" s="839"/>
      <c r="Z126" s="839"/>
    </row>
    <row r="127" spans="2:26" s="1239" customFormat="1" ht="19.899999999999999" customHeight="1">
      <c r="B127" s="839"/>
      <c r="C127" s="839"/>
      <c r="D127" s="839"/>
      <c r="E127" s="839"/>
      <c r="F127" s="839"/>
      <c r="G127" s="839"/>
      <c r="H127" s="839"/>
      <c r="I127" s="839"/>
      <c r="J127" s="839"/>
      <c r="K127" s="839"/>
      <c r="L127" s="839"/>
      <c r="M127" s="839"/>
      <c r="N127" s="345"/>
      <c r="O127" s="839"/>
      <c r="P127" s="839"/>
      <c r="Q127" s="839"/>
      <c r="R127" s="839"/>
      <c r="S127" s="839"/>
      <c r="T127" s="839"/>
      <c r="U127" s="839"/>
      <c r="V127" s="839"/>
      <c r="W127" s="839"/>
      <c r="X127" s="839"/>
      <c r="Y127" s="839"/>
      <c r="Z127" s="839"/>
    </row>
    <row r="128" spans="2:26" s="1239" customFormat="1" ht="19.899999999999999" customHeight="1">
      <c r="B128" s="839"/>
      <c r="C128" s="839"/>
      <c r="D128" s="839"/>
      <c r="E128" s="839"/>
      <c r="F128" s="839"/>
      <c r="G128" s="839"/>
      <c r="H128" s="839"/>
      <c r="I128" s="839"/>
      <c r="J128" s="839"/>
      <c r="K128" s="839"/>
      <c r="L128" s="839"/>
      <c r="M128" s="839"/>
      <c r="N128" s="345"/>
      <c r="O128" s="839"/>
      <c r="P128" s="839"/>
      <c r="Q128" s="839"/>
      <c r="R128" s="839"/>
      <c r="S128" s="839"/>
      <c r="T128" s="839"/>
      <c r="U128" s="839"/>
      <c r="V128" s="839"/>
      <c r="W128" s="839"/>
      <c r="X128" s="839"/>
      <c r="Y128" s="839"/>
      <c r="Z128" s="839"/>
    </row>
    <row r="129" spans="2:26" s="1239" customFormat="1" ht="19.899999999999999" customHeight="1">
      <c r="B129" s="839"/>
      <c r="C129" s="839"/>
      <c r="D129" s="839"/>
      <c r="E129" s="839"/>
      <c r="F129" s="839"/>
      <c r="G129" s="839"/>
      <c r="H129" s="839"/>
      <c r="I129" s="839"/>
      <c r="J129" s="839"/>
      <c r="K129" s="839"/>
      <c r="L129" s="839"/>
      <c r="M129" s="839"/>
      <c r="N129" s="345"/>
      <c r="O129" s="839"/>
      <c r="P129" s="839"/>
      <c r="Q129" s="839"/>
      <c r="R129" s="839"/>
      <c r="S129" s="839"/>
      <c r="T129" s="839"/>
      <c r="U129" s="839"/>
      <c r="V129" s="839"/>
      <c r="W129" s="839"/>
      <c r="X129" s="839"/>
      <c r="Y129" s="839"/>
      <c r="Z129" s="839"/>
    </row>
    <row r="130" spans="2:26" s="1239" customFormat="1" ht="19.899999999999999" customHeight="1">
      <c r="B130" s="839"/>
      <c r="C130" s="839"/>
      <c r="D130" s="839"/>
      <c r="E130" s="839"/>
      <c r="F130" s="839"/>
      <c r="G130" s="839"/>
      <c r="H130" s="839"/>
      <c r="I130" s="839"/>
      <c r="J130" s="839"/>
      <c r="K130" s="839"/>
      <c r="L130" s="839"/>
      <c r="M130" s="839"/>
      <c r="N130" s="345"/>
      <c r="O130" s="839"/>
      <c r="P130" s="839"/>
      <c r="Q130" s="839"/>
      <c r="R130" s="839"/>
      <c r="S130" s="839"/>
      <c r="T130" s="839"/>
      <c r="U130" s="839"/>
      <c r="V130" s="839"/>
      <c r="W130" s="839"/>
      <c r="X130" s="839"/>
      <c r="Y130" s="839"/>
      <c r="Z130" s="839"/>
    </row>
    <row r="131" spans="2:26" s="1239" customFormat="1" ht="19.899999999999999" customHeight="1">
      <c r="B131" s="839"/>
      <c r="C131" s="839"/>
      <c r="D131" s="839"/>
      <c r="E131" s="839"/>
      <c r="F131" s="839"/>
      <c r="G131" s="839"/>
      <c r="H131" s="839"/>
      <c r="I131" s="839"/>
      <c r="J131" s="839"/>
      <c r="K131" s="839"/>
      <c r="L131" s="839"/>
      <c r="M131" s="839"/>
      <c r="N131" s="345"/>
      <c r="O131" s="839"/>
      <c r="P131" s="839"/>
      <c r="Q131" s="839"/>
      <c r="R131" s="839"/>
      <c r="S131" s="839"/>
      <c r="T131" s="839"/>
      <c r="U131" s="839"/>
      <c r="V131" s="839"/>
      <c r="W131" s="839"/>
      <c r="X131" s="839"/>
      <c r="Y131" s="839"/>
      <c r="Z131" s="839"/>
    </row>
    <row r="132" spans="2:26" s="1239" customFormat="1" ht="19.899999999999999" customHeight="1">
      <c r="B132" s="839"/>
      <c r="C132" s="839"/>
      <c r="D132" s="839"/>
      <c r="E132" s="839"/>
      <c r="F132" s="839"/>
      <c r="G132" s="839"/>
      <c r="H132" s="839"/>
      <c r="I132" s="839"/>
      <c r="J132" s="839"/>
      <c r="K132" s="839"/>
      <c r="L132" s="839"/>
      <c r="M132" s="839"/>
      <c r="N132" s="345"/>
      <c r="O132" s="839"/>
      <c r="P132" s="839"/>
      <c r="Q132" s="839"/>
      <c r="R132" s="839"/>
      <c r="S132" s="839"/>
      <c r="T132" s="839"/>
      <c r="U132" s="839"/>
      <c r="V132" s="839"/>
      <c r="W132" s="839"/>
      <c r="X132" s="839"/>
      <c r="Y132" s="839"/>
      <c r="Z132" s="839"/>
    </row>
    <row r="133" spans="2:26" s="1239" customFormat="1" ht="19.899999999999999" customHeight="1">
      <c r="B133" s="839"/>
      <c r="C133" s="839"/>
      <c r="D133" s="839"/>
      <c r="E133" s="839"/>
      <c r="F133" s="839"/>
      <c r="G133" s="839"/>
      <c r="H133" s="839"/>
      <c r="I133" s="839"/>
      <c r="J133" s="839"/>
      <c r="K133" s="839"/>
      <c r="L133" s="839"/>
      <c r="M133" s="839"/>
      <c r="N133" s="345"/>
      <c r="O133" s="839"/>
      <c r="P133" s="839"/>
      <c r="Q133" s="839"/>
      <c r="R133" s="839"/>
      <c r="S133" s="839"/>
      <c r="T133" s="839"/>
      <c r="U133" s="839"/>
      <c r="V133" s="839"/>
      <c r="W133" s="839"/>
      <c r="X133" s="839"/>
      <c r="Y133" s="839"/>
      <c r="Z133" s="839"/>
    </row>
    <row r="134" spans="2:26" s="1239" customFormat="1" ht="19.899999999999999" customHeight="1">
      <c r="B134" s="839"/>
      <c r="C134" s="839"/>
      <c r="D134" s="839"/>
      <c r="E134" s="839"/>
      <c r="F134" s="839"/>
      <c r="G134" s="839"/>
      <c r="H134" s="839"/>
      <c r="I134" s="839"/>
      <c r="J134" s="839"/>
      <c r="K134" s="839"/>
      <c r="L134" s="839"/>
      <c r="M134" s="839"/>
      <c r="N134" s="345"/>
      <c r="O134" s="839"/>
      <c r="P134" s="839"/>
      <c r="Q134" s="839"/>
      <c r="R134" s="839"/>
      <c r="S134" s="839"/>
      <c r="T134" s="839"/>
      <c r="U134" s="839"/>
      <c r="V134" s="839"/>
      <c r="W134" s="839"/>
      <c r="X134" s="839"/>
      <c r="Y134" s="839"/>
      <c r="Z134" s="839"/>
    </row>
    <row r="135" spans="2:26" s="1239" customFormat="1" ht="19.899999999999999" customHeight="1">
      <c r="B135" s="839"/>
      <c r="C135" s="839"/>
      <c r="D135" s="839"/>
      <c r="E135" s="839"/>
      <c r="F135" s="839"/>
      <c r="G135" s="839"/>
      <c r="H135" s="839"/>
      <c r="I135" s="839"/>
      <c r="J135" s="839"/>
      <c r="K135" s="839"/>
      <c r="L135" s="839"/>
      <c r="M135" s="839"/>
      <c r="N135" s="345"/>
      <c r="O135" s="839"/>
      <c r="P135" s="839"/>
      <c r="Q135" s="839"/>
      <c r="R135" s="839"/>
      <c r="S135" s="839"/>
      <c r="T135" s="839"/>
      <c r="U135" s="839"/>
      <c r="V135" s="839"/>
      <c r="W135" s="839"/>
      <c r="X135" s="839"/>
      <c r="Y135" s="839"/>
      <c r="Z135" s="839"/>
    </row>
    <row r="136" spans="2:26" s="1239" customFormat="1" ht="19.899999999999999" customHeight="1">
      <c r="B136" s="839"/>
      <c r="C136" s="839"/>
      <c r="D136" s="839"/>
      <c r="E136" s="839"/>
      <c r="F136" s="839"/>
      <c r="G136" s="839"/>
      <c r="H136" s="839"/>
      <c r="I136" s="839"/>
      <c r="J136" s="839"/>
      <c r="K136" s="839"/>
      <c r="L136" s="839"/>
      <c r="M136" s="839"/>
      <c r="N136" s="345"/>
      <c r="O136" s="839"/>
      <c r="P136" s="839"/>
      <c r="Q136" s="839"/>
      <c r="R136" s="839"/>
      <c r="S136" s="839"/>
      <c r="T136" s="839"/>
      <c r="U136" s="839"/>
      <c r="V136" s="839"/>
      <c r="W136" s="839"/>
      <c r="X136" s="839"/>
      <c r="Y136" s="839"/>
      <c r="Z136" s="839"/>
    </row>
    <row r="137" spans="2:26" s="1239" customFormat="1" ht="19.899999999999999" customHeight="1">
      <c r="B137" s="839"/>
      <c r="C137" s="839"/>
      <c r="D137" s="839"/>
      <c r="E137" s="839"/>
      <c r="F137" s="839"/>
      <c r="G137" s="839"/>
      <c r="H137" s="839"/>
      <c r="I137" s="839"/>
      <c r="J137" s="839"/>
      <c r="K137" s="839"/>
      <c r="L137" s="839"/>
      <c r="M137" s="839"/>
      <c r="N137" s="345"/>
      <c r="O137" s="839"/>
      <c r="P137" s="839"/>
      <c r="Q137" s="839"/>
      <c r="R137" s="839"/>
      <c r="S137" s="839"/>
      <c r="T137" s="839"/>
      <c r="U137" s="839"/>
      <c r="V137" s="839"/>
      <c r="W137" s="839"/>
      <c r="X137" s="839"/>
      <c r="Y137" s="839"/>
      <c r="Z137" s="839"/>
    </row>
    <row r="138" spans="2:26" s="1239" customFormat="1" ht="19.899999999999999" customHeight="1">
      <c r="B138" s="839"/>
      <c r="C138" s="839"/>
      <c r="D138" s="839"/>
      <c r="E138" s="839"/>
      <c r="F138" s="839"/>
      <c r="G138" s="839"/>
      <c r="H138" s="839"/>
      <c r="I138" s="839"/>
      <c r="J138" s="839"/>
      <c r="K138" s="839"/>
      <c r="L138" s="839"/>
      <c r="M138" s="839"/>
      <c r="N138" s="345"/>
      <c r="O138" s="839"/>
      <c r="P138" s="839"/>
      <c r="Q138" s="839"/>
      <c r="R138" s="839"/>
      <c r="S138" s="839"/>
      <c r="T138" s="839"/>
      <c r="U138" s="839"/>
      <c r="V138" s="839"/>
      <c r="W138" s="839"/>
      <c r="X138" s="839"/>
      <c r="Y138" s="839"/>
      <c r="Z138" s="839"/>
    </row>
    <row r="139" spans="2:26" s="1239" customFormat="1" ht="19.899999999999999" customHeight="1">
      <c r="B139" s="839"/>
      <c r="C139" s="839"/>
      <c r="D139" s="839"/>
      <c r="E139" s="839"/>
      <c r="F139" s="839"/>
      <c r="G139" s="839"/>
      <c r="H139" s="839"/>
      <c r="I139" s="839"/>
      <c r="J139" s="839"/>
      <c r="K139" s="839"/>
      <c r="L139" s="839"/>
      <c r="M139" s="839"/>
      <c r="N139" s="345"/>
      <c r="O139" s="839"/>
      <c r="P139" s="839"/>
      <c r="Q139" s="839"/>
      <c r="R139" s="839"/>
      <c r="S139" s="839"/>
      <c r="T139" s="839"/>
      <c r="U139" s="839"/>
      <c r="V139" s="839"/>
      <c r="W139" s="839"/>
      <c r="X139" s="839"/>
      <c r="Y139" s="839"/>
      <c r="Z139" s="839"/>
    </row>
    <row r="140" spans="2:26" s="1239" customFormat="1" ht="19.899999999999999" customHeight="1">
      <c r="B140" s="839"/>
      <c r="C140" s="839"/>
      <c r="D140" s="839"/>
      <c r="E140" s="839"/>
      <c r="F140" s="839"/>
      <c r="G140" s="839"/>
      <c r="H140" s="839"/>
      <c r="I140" s="839"/>
      <c r="J140" s="839"/>
      <c r="K140" s="839"/>
      <c r="L140" s="839"/>
      <c r="M140" s="839"/>
      <c r="N140" s="345"/>
      <c r="O140" s="839"/>
      <c r="P140" s="839"/>
      <c r="Q140" s="839"/>
      <c r="R140" s="839"/>
      <c r="S140" s="839"/>
      <c r="T140" s="839"/>
      <c r="U140" s="839"/>
      <c r="V140" s="839"/>
      <c r="W140" s="839"/>
      <c r="X140" s="839"/>
      <c r="Y140" s="839"/>
      <c r="Z140" s="839"/>
    </row>
    <row r="141" spans="2:26" s="1239" customFormat="1" ht="19.899999999999999" customHeight="1">
      <c r="B141" s="839"/>
      <c r="C141" s="839"/>
      <c r="D141" s="839"/>
      <c r="E141" s="839"/>
      <c r="F141" s="839"/>
      <c r="G141" s="839"/>
      <c r="H141" s="839"/>
      <c r="I141" s="839"/>
      <c r="J141" s="839"/>
      <c r="K141" s="839"/>
      <c r="L141" s="839"/>
      <c r="M141" s="839"/>
      <c r="N141" s="345"/>
      <c r="O141" s="839"/>
      <c r="P141" s="839"/>
      <c r="Q141" s="839"/>
      <c r="R141" s="839"/>
      <c r="S141" s="839"/>
      <c r="T141" s="839"/>
      <c r="U141" s="839"/>
      <c r="V141" s="839"/>
      <c r="W141" s="839"/>
      <c r="X141" s="839"/>
      <c r="Y141" s="839"/>
      <c r="Z141" s="839"/>
    </row>
    <row r="142" spans="2:26" s="1239" customFormat="1" ht="19.899999999999999" customHeight="1">
      <c r="B142" s="839"/>
      <c r="C142" s="839"/>
      <c r="D142" s="839"/>
      <c r="E142" s="839"/>
      <c r="F142" s="839"/>
      <c r="G142" s="839"/>
      <c r="H142" s="839"/>
      <c r="I142" s="839"/>
      <c r="J142" s="839"/>
      <c r="K142" s="839"/>
      <c r="L142" s="839"/>
      <c r="M142" s="839"/>
      <c r="N142" s="345"/>
      <c r="O142" s="839"/>
      <c r="P142" s="839"/>
      <c r="Q142" s="839"/>
      <c r="R142" s="839"/>
      <c r="S142" s="839"/>
      <c r="T142" s="839"/>
      <c r="U142" s="839"/>
      <c r="V142" s="839"/>
      <c r="W142" s="839"/>
      <c r="X142" s="839"/>
      <c r="Y142" s="839"/>
      <c r="Z142" s="839"/>
    </row>
    <row r="143" spans="2:26" s="1239" customFormat="1" ht="19.899999999999999" customHeight="1">
      <c r="B143" s="839"/>
      <c r="C143" s="839"/>
      <c r="D143" s="839"/>
      <c r="E143" s="839"/>
      <c r="F143" s="839"/>
      <c r="G143" s="839"/>
      <c r="H143" s="839"/>
      <c r="I143" s="839"/>
      <c r="J143" s="839"/>
      <c r="K143" s="839"/>
      <c r="L143" s="839"/>
      <c r="M143" s="839"/>
      <c r="N143" s="345"/>
      <c r="O143" s="839"/>
      <c r="P143" s="839"/>
      <c r="Q143" s="839"/>
      <c r="R143" s="839"/>
      <c r="S143" s="839"/>
      <c r="T143" s="839"/>
      <c r="U143" s="839"/>
      <c r="V143" s="839"/>
      <c r="W143" s="839"/>
      <c r="X143" s="839"/>
      <c r="Y143" s="839"/>
      <c r="Z143" s="839"/>
    </row>
    <row r="144" spans="2:26" s="1239" customFormat="1" ht="19.899999999999999" customHeight="1">
      <c r="B144" s="839"/>
      <c r="C144" s="839"/>
      <c r="D144" s="839"/>
      <c r="E144" s="839"/>
      <c r="F144" s="839"/>
      <c r="G144" s="839"/>
      <c r="H144" s="839"/>
      <c r="I144" s="839"/>
      <c r="J144" s="839"/>
      <c r="K144" s="839"/>
      <c r="L144" s="839"/>
      <c r="M144" s="839"/>
      <c r="N144" s="345"/>
      <c r="O144" s="839"/>
      <c r="P144" s="839"/>
      <c r="Q144" s="839"/>
      <c r="R144" s="839"/>
      <c r="S144" s="839"/>
      <c r="T144" s="839"/>
      <c r="U144" s="839"/>
      <c r="V144" s="839"/>
      <c r="W144" s="839"/>
      <c r="X144" s="839"/>
      <c r="Y144" s="839"/>
      <c r="Z144" s="839"/>
    </row>
    <row r="145" spans="2:26" s="1239" customFormat="1" ht="19.899999999999999" customHeight="1">
      <c r="B145" s="839"/>
      <c r="C145" s="839"/>
      <c r="D145" s="839"/>
      <c r="E145" s="839"/>
      <c r="F145" s="839"/>
      <c r="G145" s="839"/>
      <c r="H145" s="839"/>
      <c r="I145" s="839"/>
      <c r="J145" s="839"/>
      <c r="K145" s="839"/>
      <c r="L145" s="839"/>
      <c r="M145" s="839"/>
      <c r="N145" s="345"/>
      <c r="O145" s="839"/>
      <c r="P145" s="839"/>
      <c r="Q145" s="839"/>
      <c r="R145" s="839"/>
      <c r="S145" s="839"/>
      <c r="T145" s="839"/>
      <c r="U145" s="839"/>
      <c r="V145" s="839"/>
      <c r="W145" s="839"/>
      <c r="X145" s="839"/>
      <c r="Y145" s="839"/>
      <c r="Z145" s="839"/>
    </row>
    <row r="146" spans="2:26" s="1239" customFormat="1" ht="19.899999999999999" customHeight="1">
      <c r="B146" s="839"/>
      <c r="C146" s="839"/>
      <c r="D146" s="839"/>
      <c r="E146" s="839"/>
      <c r="F146" s="839"/>
      <c r="G146" s="839"/>
      <c r="H146" s="839"/>
      <c r="I146" s="839"/>
      <c r="J146" s="839"/>
      <c r="K146" s="839"/>
      <c r="L146" s="839"/>
      <c r="M146" s="839"/>
      <c r="N146" s="345"/>
      <c r="O146" s="839"/>
      <c r="P146" s="839"/>
      <c r="Q146" s="839"/>
      <c r="R146" s="839"/>
      <c r="S146" s="839"/>
      <c r="T146" s="839"/>
      <c r="U146" s="839"/>
      <c r="V146" s="839"/>
      <c r="W146" s="839"/>
      <c r="X146" s="839"/>
      <c r="Y146" s="839"/>
      <c r="Z146" s="839"/>
    </row>
    <row r="147" spans="2:26" s="1239" customFormat="1" ht="19.899999999999999" customHeight="1">
      <c r="B147" s="839"/>
      <c r="C147" s="839"/>
      <c r="D147" s="839"/>
      <c r="E147" s="839"/>
      <c r="F147" s="839"/>
      <c r="G147" s="839"/>
      <c r="H147" s="839"/>
      <c r="I147" s="839"/>
      <c r="J147" s="839"/>
      <c r="K147" s="839"/>
      <c r="L147" s="839"/>
      <c r="M147" s="839"/>
      <c r="N147" s="345"/>
      <c r="O147" s="839"/>
      <c r="P147" s="839"/>
      <c r="Q147" s="839"/>
      <c r="R147" s="839"/>
      <c r="S147" s="839"/>
      <c r="T147" s="839"/>
      <c r="U147" s="839"/>
      <c r="V147" s="839"/>
      <c r="W147" s="839"/>
      <c r="X147" s="839"/>
      <c r="Y147" s="839"/>
      <c r="Z147" s="839"/>
    </row>
    <row r="148" spans="2:26" s="1239" customFormat="1" ht="19.899999999999999" customHeight="1">
      <c r="B148" s="839"/>
      <c r="C148" s="839"/>
      <c r="D148" s="839"/>
      <c r="E148" s="839"/>
      <c r="F148" s="839"/>
      <c r="G148" s="839"/>
      <c r="H148" s="839"/>
      <c r="I148" s="839"/>
      <c r="J148" s="839"/>
      <c r="K148" s="839"/>
      <c r="L148" s="839"/>
      <c r="M148" s="839"/>
      <c r="N148" s="345"/>
      <c r="O148" s="839"/>
      <c r="P148" s="839"/>
      <c r="Q148" s="839"/>
      <c r="R148" s="839"/>
      <c r="S148" s="839"/>
      <c r="T148" s="839"/>
      <c r="U148" s="839"/>
      <c r="V148" s="839"/>
      <c r="W148" s="839"/>
      <c r="X148" s="839"/>
      <c r="Y148" s="839"/>
      <c r="Z148" s="839"/>
    </row>
    <row r="149" spans="2:26" s="1239" customFormat="1" ht="19.899999999999999" customHeight="1">
      <c r="B149" s="839"/>
      <c r="C149" s="839"/>
      <c r="D149" s="839"/>
      <c r="E149" s="839"/>
      <c r="F149" s="839"/>
      <c r="G149" s="839"/>
      <c r="H149" s="839"/>
      <c r="I149" s="839"/>
      <c r="J149" s="839"/>
      <c r="K149" s="839"/>
      <c r="L149" s="839"/>
      <c r="M149" s="839"/>
      <c r="N149" s="345"/>
      <c r="O149" s="839"/>
      <c r="P149" s="839"/>
      <c r="Q149" s="839"/>
      <c r="R149" s="839"/>
      <c r="S149" s="839"/>
      <c r="T149" s="839"/>
      <c r="U149" s="839"/>
      <c r="V149" s="839"/>
      <c r="W149" s="839"/>
      <c r="X149" s="839"/>
      <c r="Y149" s="839"/>
      <c r="Z149" s="839"/>
    </row>
    <row r="150" spans="2:26" s="1239" customFormat="1" ht="19.899999999999999" customHeight="1">
      <c r="B150" s="839"/>
      <c r="C150" s="839"/>
      <c r="D150" s="839"/>
      <c r="E150" s="839"/>
      <c r="F150" s="839"/>
      <c r="G150" s="839"/>
      <c r="H150" s="839"/>
      <c r="I150" s="839"/>
      <c r="J150" s="839"/>
      <c r="K150" s="839"/>
      <c r="L150" s="839"/>
      <c r="M150" s="839"/>
      <c r="N150" s="345"/>
      <c r="O150" s="839"/>
      <c r="P150" s="839"/>
      <c r="Q150" s="839"/>
      <c r="R150" s="839"/>
      <c r="S150" s="839"/>
      <c r="T150" s="839"/>
      <c r="U150" s="839"/>
      <c r="V150" s="839"/>
      <c r="W150" s="839"/>
      <c r="X150" s="839"/>
      <c r="Y150" s="839"/>
      <c r="Z150" s="839"/>
    </row>
    <row r="151" spans="2:26" s="1239" customFormat="1" ht="19.899999999999999" customHeight="1">
      <c r="B151" s="839"/>
      <c r="C151" s="839"/>
      <c r="D151" s="839"/>
      <c r="E151" s="839"/>
      <c r="F151" s="839"/>
      <c r="G151" s="839"/>
      <c r="H151" s="839"/>
      <c r="I151" s="839"/>
      <c r="J151" s="839"/>
      <c r="K151" s="839"/>
      <c r="L151" s="839"/>
      <c r="M151" s="839"/>
      <c r="N151" s="345"/>
      <c r="O151" s="839"/>
      <c r="P151" s="839"/>
      <c r="Q151" s="839"/>
      <c r="R151" s="839"/>
      <c r="S151" s="839"/>
      <c r="T151" s="839"/>
      <c r="U151" s="839"/>
      <c r="V151" s="839"/>
      <c r="W151" s="839"/>
      <c r="X151" s="839"/>
      <c r="Y151" s="839"/>
      <c r="Z151" s="839"/>
    </row>
    <row r="152" spans="2:26" s="1239" customFormat="1" ht="19.899999999999999" customHeight="1">
      <c r="B152" s="839"/>
      <c r="C152" s="839"/>
      <c r="D152" s="839"/>
      <c r="E152" s="839"/>
      <c r="F152" s="839"/>
      <c r="G152" s="839"/>
      <c r="H152" s="839"/>
      <c r="I152" s="839"/>
      <c r="J152" s="839"/>
      <c r="K152" s="839"/>
      <c r="L152" s="839"/>
      <c r="M152" s="839"/>
      <c r="N152" s="345"/>
      <c r="O152" s="839"/>
      <c r="P152" s="839"/>
      <c r="Q152" s="839"/>
      <c r="R152" s="839"/>
      <c r="S152" s="839"/>
      <c r="T152" s="839"/>
      <c r="U152" s="839"/>
      <c r="V152" s="839"/>
      <c r="W152" s="839"/>
      <c r="X152" s="839"/>
      <c r="Y152" s="839"/>
      <c r="Z152" s="839"/>
    </row>
    <row r="153" spans="2:26" s="1239" customFormat="1" ht="19.899999999999999" customHeight="1">
      <c r="B153" s="839"/>
      <c r="C153" s="839"/>
      <c r="D153" s="839"/>
      <c r="E153" s="839"/>
      <c r="F153" s="839"/>
      <c r="G153" s="839"/>
      <c r="H153" s="839"/>
      <c r="I153" s="839"/>
      <c r="J153" s="839"/>
      <c r="K153" s="839"/>
      <c r="L153" s="839"/>
      <c r="M153" s="839"/>
      <c r="N153" s="345"/>
      <c r="O153" s="839"/>
      <c r="P153" s="839"/>
      <c r="Q153" s="839"/>
      <c r="R153" s="839"/>
      <c r="S153" s="839"/>
      <c r="T153" s="839"/>
      <c r="U153" s="839"/>
      <c r="V153" s="839"/>
      <c r="W153" s="839"/>
      <c r="X153" s="839"/>
      <c r="Y153" s="839"/>
      <c r="Z153" s="839"/>
    </row>
    <row r="154" spans="2:26" s="1239" customFormat="1" ht="19.899999999999999" customHeight="1">
      <c r="B154" s="839"/>
      <c r="C154" s="839"/>
      <c r="D154" s="839"/>
      <c r="E154" s="839"/>
      <c r="F154" s="839"/>
      <c r="G154" s="839"/>
      <c r="H154" s="839"/>
      <c r="I154" s="839"/>
      <c r="J154" s="839"/>
      <c r="K154" s="839"/>
      <c r="L154" s="839"/>
      <c r="M154" s="839"/>
      <c r="N154" s="345"/>
      <c r="O154" s="839"/>
      <c r="P154" s="839"/>
      <c r="Q154" s="839"/>
      <c r="R154" s="839"/>
      <c r="S154" s="839"/>
      <c r="T154" s="839"/>
      <c r="U154" s="839"/>
      <c r="V154" s="839"/>
      <c r="W154" s="839"/>
      <c r="X154" s="839"/>
      <c r="Y154" s="839"/>
      <c r="Z154" s="839"/>
    </row>
    <row r="155" spans="2:26" s="1239" customFormat="1" ht="19.899999999999999" customHeight="1">
      <c r="B155" s="839"/>
      <c r="C155" s="839"/>
      <c r="D155" s="839"/>
      <c r="E155" s="839"/>
      <c r="F155" s="839"/>
      <c r="G155" s="839"/>
      <c r="H155" s="839"/>
      <c r="I155" s="839"/>
      <c r="J155" s="839"/>
      <c r="K155" s="839"/>
      <c r="L155" s="839"/>
      <c r="M155" s="839"/>
      <c r="N155" s="345"/>
      <c r="O155" s="839"/>
      <c r="P155" s="839"/>
      <c r="Q155" s="839"/>
      <c r="R155" s="839"/>
      <c r="S155" s="839"/>
      <c r="T155" s="839"/>
      <c r="U155" s="839"/>
      <c r="V155" s="839"/>
      <c r="W155" s="839"/>
      <c r="X155" s="839"/>
      <c r="Y155" s="839"/>
      <c r="Z155" s="839"/>
    </row>
    <row r="156" spans="2:26" s="1239" customFormat="1" ht="19.899999999999999" customHeight="1">
      <c r="B156" s="839"/>
      <c r="C156" s="839"/>
      <c r="D156" s="839"/>
      <c r="E156" s="839"/>
      <c r="F156" s="839"/>
      <c r="G156" s="839"/>
      <c r="H156" s="839"/>
      <c r="I156" s="839"/>
      <c r="J156" s="839"/>
      <c r="K156" s="839"/>
      <c r="L156" s="839"/>
      <c r="M156" s="839"/>
      <c r="N156" s="345"/>
      <c r="O156" s="839"/>
      <c r="P156" s="839"/>
      <c r="Q156" s="839"/>
      <c r="R156" s="839"/>
      <c r="S156" s="839"/>
      <c r="T156" s="839"/>
      <c r="U156" s="839"/>
      <c r="V156" s="839"/>
      <c r="W156" s="839"/>
      <c r="X156" s="839"/>
      <c r="Y156" s="839"/>
      <c r="Z156" s="839"/>
    </row>
    <row r="157" spans="2:26" s="1239" customFormat="1" ht="19.899999999999999" customHeight="1">
      <c r="B157" s="839"/>
      <c r="C157" s="839"/>
      <c r="D157" s="839"/>
      <c r="E157" s="839"/>
      <c r="F157" s="839"/>
      <c r="G157" s="839"/>
      <c r="H157" s="839"/>
      <c r="I157" s="839"/>
      <c r="J157" s="839"/>
      <c r="K157" s="839"/>
      <c r="L157" s="839"/>
      <c r="M157" s="839"/>
      <c r="N157" s="345"/>
      <c r="O157" s="839"/>
      <c r="P157" s="839"/>
      <c r="Q157" s="839"/>
      <c r="R157" s="839"/>
      <c r="S157" s="839"/>
      <c r="T157" s="839"/>
      <c r="U157" s="839"/>
      <c r="V157" s="839"/>
      <c r="W157" s="839"/>
      <c r="X157" s="839"/>
      <c r="Y157" s="839"/>
      <c r="Z157" s="839"/>
    </row>
    <row r="158" spans="2:26" s="1239" customFormat="1" ht="19.899999999999999" customHeight="1">
      <c r="B158" s="839"/>
      <c r="C158" s="839"/>
      <c r="D158" s="839"/>
      <c r="E158" s="839"/>
      <c r="F158" s="839"/>
      <c r="G158" s="839"/>
      <c r="H158" s="839"/>
      <c r="I158" s="839"/>
      <c r="J158" s="839"/>
      <c r="K158" s="839"/>
      <c r="L158" s="839"/>
      <c r="M158" s="839"/>
      <c r="N158" s="345"/>
      <c r="O158" s="839"/>
      <c r="P158" s="839"/>
      <c r="Q158" s="839"/>
      <c r="R158" s="839"/>
      <c r="S158" s="839"/>
      <c r="T158" s="839"/>
      <c r="U158" s="839"/>
      <c r="V158" s="839"/>
      <c r="W158" s="839"/>
      <c r="X158" s="839"/>
      <c r="Y158" s="839"/>
      <c r="Z158" s="839"/>
    </row>
    <row r="159" spans="2:26" s="1239" customFormat="1" ht="19.899999999999999" customHeight="1">
      <c r="B159" s="839"/>
      <c r="C159" s="839"/>
      <c r="D159" s="839"/>
      <c r="E159" s="839"/>
      <c r="F159" s="839"/>
      <c r="G159" s="839"/>
      <c r="H159" s="839"/>
      <c r="I159" s="839"/>
      <c r="J159" s="839"/>
      <c r="K159" s="839"/>
      <c r="L159" s="839"/>
      <c r="M159" s="839"/>
      <c r="N159" s="345"/>
      <c r="O159" s="839"/>
      <c r="P159" s="839"/>
      <c r="Q159" s="839"/>
      <c r="R159" s="839"/>
      <c r="S159" s="839"/>
      <c r="T159" s="839"/>
      <c r="U159" s="839"/>
      <c r="V159" s="839"/>
      <c r="W159" s="839"/>
      <c r="X159" s="839"/>
      <c r="Y159" s="839"/>
      <c r="Z159" s="839"/>
    </row>
    <row r="160" spans="2:26" s="1239" customFormat="1" ht="19.899999999999999" customHeight="1">
      <c r="B160" s="839"/>
      <c r="C160" s="839"/>
      <c r="D160" s="839"/>
      <c r="E160" s="839"/>
      <c r="F160" s="839"/>
      <c r="G160" s="839"/>
      <c r="H160" s="839"/>
      <c r="I160" s="839"/>
      <c r="J160" s="839"/>
      <c r="K160" s="839"/>
      <c r="L160" s="839"/>
      <c r="M160" s="839"/>
      <c r="N160" s="345"/>
      <c r="O160" s="839"/>
      <c r="P160" s="839"/>
      <c r="Q160" s="839"/>
      <c r="R160" s="839"/>
      <c r="S160" s="839"/>
      <c r="T160" s="839"/>
      <c r="U160" s="839"/>
      <c r="V160" s="839"/>
      <c r="W160" s="839"/>
      <c r="X160" s="839"/>
      <c r="Y160" s="839"/>
      <c r="Z160" s="839"/>
    </row>
    <row r="161" spans="2:26" s="1239" customFormat="1" ht="19.899999999999999" customHeight="1">
      <c r="B161" s="839"/>
      <c r="C161" s="839"/>
      <c r="D161" s="839"/>
      <c r="E161" s="839"/>
      <c r="F161" s="839"/>
      <c r="G161" s="839"/>
      <c r="H161" s="839"/>
      <c r="I161" s="839"/>
      <c r="J161" s="839"/>
      <c r="K161" s="839"/>
      <c r="L161" s="839"/>
      <c r="M161" s="839"/>
      <c r="N161" s="345"/>
      <c r="O161" s="839"/>
      <c r="P161" s="839"/>
      <c r="Q161" s="839"/>
      <c r="R161" s="839"/>
      <c r="S161" s="839"/>
      <c r="T161" s="839"/>
      <c r="U161" s="839"/>
      <c r="V161" s="839"/>
      <c r="W161" s="839"/>
      <c r="X161" s="839"/>
      <c r="Y161" s="839"/>
      <c r="Z161" s="839"/>
    </row>
    <row r="162" spans="2:26" s="1239" customFormat="1" ht="19.899999999999999" customHeight="1">
      <c r="B162" s="839"/>
      <c r="C162" s="839"/>
      <c r="D162" s="839"/>
      <c r="E162" s="839"/>
      <c r="F162" s="839"/>
      <c r="G162" s="839"/>
      <c r="H162" s="839"/>
      <c r="I162" s="839"/>
      <c r="J162" s="839"/>
      <c r="K162" s="839"/>
      <c r="L162" s="839"/>
      <c r="M162" s="839"/>
      <c r="N162" s="345"/>
      <c r="O162" s="839"/>
      <c r="P162" s="839"/>
      <c r="Q162" s="839"/>
      <c r="R162" s="839"/>
      <c r="S162" s="839"/>
      <c r="T162" s="839"/>
      <c r="U162" s="839"/>
      <c r="V162" s="839"/>
      <c r="W162" s="839"/>
      <c r="X162" s="839"/>
      <c r="Y162" s="839"/>
      <c r="Z162" s="839"/>
    </row>
    <row r="163" spans="2:26" s="1239" customFormat="1" ht="19.899999999999999" customHeight="1">
      <c r="B163" s="839"/>
      <c r="C163" s="839"/>
      <c r="D163" s="839"/>
      <c r="E163" s="839"/>
      <c r="F163" s="839"/>
      <c r="G163" s="839"/>
      <c r="H163" s="839"/>
      <c r="I163" s="839"/>
      <c r="J163" s="839"/>
      <c r="K163" s="839"/>
      <c r="L163" s="839"/>
      <c r="M163" s="839"/>
      <c r="N163" s="345"/>
      <c r="O163" s="839"/>
      <c r="P163" s="839"/>
      <c r="Q163" s="839"/>
      <c r="R163" s="839"/>
      <c r="S163" s="839"/>
      <c r="T163" s="839"/>
      <c r="U163" s="839"/>
      <c r="V163" s="839"/>
      <c r="W163" s="839"/>
      <c r="X163" s="839"/>
      <c r="Y163" s="839"/>
      <c r="Z163" s="839"/>
    </row>
    <row r="164" spans="2:26" s="1239" customFormat="1" ht="19.899999999999999" customHeight="1">
      <c r="B164" s="839"/>
      <c r="C164" s="839"/>
      <c r="D164" s="839"/>
      <c r="E164" s="839"/>
      <c r="F164" s="839"/>
      <c r="G164" s="839"/>
      <c r="H164" s="839"/>
      <c r="I164" s="839"/>
      <c r="J164" s="839"/>
      <c r="K164" s="839"/>
      <c r="L164" s="839"/>
      <c r="M164" s="839"/>
      <c r="N164" s="345"/>
      <c r="O164" s="839"/>
      <c r="P164" s="839"/>
      <c r="Q164" s="839"/>
      <c r="R164" s="839"/>
      <c r="S164" s="839"/>
      <c r="T164" s="839"/>
      <c r="U164" s="839"/>
      <c r="V164" s="839"/>
      <c r="W164" s="839"/>
      <c r="X164" s="839"/>
      <c r="Y164" s="839"/>
      <c r="Z164" s="839"/>
    </row>
    <row r="165" spans="2:26" s="1239" customFormat="1" ht="19.899999999999999" customHeight="1">
      <c r="B165" s="839"/>
      <c r="C165" s="839"/>
      <c r="D165" s="839"/>
      <c r="E165" s="839"/>
      <c r="F165" s="839"/>
      <c r="G165" s="839"/>
      <c r="H165" s="839"/>
      <c r="I165" s="839"/>
      <c r="J165" s="839"/>
      <c r="K165" s="839"/>
      <c r="L165" s="839"/>
      <c r="M165" s="839"/>
      <c r="N165" s="345"/>
      <c r="O165" s="839"/>
      <c r="P165" s="839"/>
      <c r="Q165" s="839"/>
      <c r="R165" s="839"/>
      <c r="S165" s="839"/>
      <c r="T165" s="839"/>
      <c r="U165" s="839"/>
      <c r="V165" s="839"/>
      <c r="W165" s="839"/>
      <c r="X165" s="839"/>
      <c r="Y165" s="839"/>
      <c r="Z165" s="839"/>
    </row>
    <row r="166" spans="2:26" s="1239" customFormat="1" ht="19.899999999999999" customHeight="1">
      <c r="B166" s="839"/>
      <c r="C166" s="839"/>
      <c r="D166" s="839"/>
      <c r="E166" s="839"/>
      <c r="F166" s="839"/>
      <c r="G166" s="839"/>
      <c r="H166" s="839"/>
      <c r="I166" s="839"/>
      <c r="J166" s="839"/>
      <c r="K166" s="839"/>
      <c r="L166" s="839"/>
      <c r="M166" s="839"/>
      <c r="N166" s="345"/>
      <c r="O166" s="839"/>
      <c r="P166" s="839"/>
      <c r="Q166" s="839"/>
      <c r="R166" s="839"/>
      <c r="S166" s="839"/>
      <c r="T166" s="839"/>
      <c r="U166" s="839"/>
      <c r="V166" s="839"/>
      <c r="W166" s="839"/>
      <c r="X166" s="839"/>
      <c r="Y166" s="839"/>
      <c r="Z166" s="839"/>
    </row>
    <row r="167" spans="2:26" s="1239" customFormat="1" ht="19.899999999999999" customHeight="1">
      <c r="B167" s="839"/>
      <c r="C167" s="839"/>
      <c r="D167" s="839"/>
      <c r="E167" s="839"/>
      <c r="F167" s="839"/>
      <c r="G167" s="839"/>
      <c r="H167" s="839"/>
      <c r="I167" s="839"/>
      <c r="J167" s="839"/>
      <c r="K167" s="839"/>
      <c r="L167" s="839"/>
      <c r="M167" s="839"/>
      <c r="N167" s="345"/>
      <c r="O167" s="839"/>
      <c r="P167" s="839"/>
      <c r="Q167" s="839"/>
      <c r="R167" s="839"/>
      <c r="S167" s="839"/>
      <c r="T167" s="839"/>
      <c r="U167" s="839"/>
      <c r="V167" s="839"/>
      <c r="W167" s="839"/>
      <c r="X167" s="839"/>
      <c r="Y167" s="839"/>
      <c r="Z167" s="839"/>
    </row>
    <row r="168" spans="2:26" s="1239" customFormat="1" ht="19.899999999999999" customHeight="1">
      <c r="B168" s="839"/>
      <c r="C168" s="839"/>
      <c r="D168" s="839"/>
      <c r="E168" s="839"/>
      <c r="F168" s="839"/>
      <c r="G168" s="839"/>
      <c r="H168" s="839"/>
      <c r="I168" s="839"/>
      <c r="J168" s="839"/>
      <c r="K168" s="839"/>
      <c r="L168" s="839"/>
      <c r="M168" s="839"/>
      <c r="N168" s="345"/>
      <c r="O168" s="839"/>
      <c r="P168" s="839"/>
      <c r="Q168" s="839"/>
      <c r="R168" s="839"/>
      <c r="S168" s="839"/>
      <c r="T168" s="839"/>
      <c r="U168" s="839"/>
      <c r="V168" s="839"/>
      <c r="W168" s="839"/>
      <c r="X168" s="839"/>
      <c r="Y168" s="839"/>
      <c r="Z168" s="839"/>
    </row>
    <row r="169" spans="2:26" s="1239" customFormat="1" ht="19.899999999999999" customHeight="1">
      <c r="B169" s="839"/>
      <c r="C169" s="839"/>
      <c r="D169" s="839"/>
      <c r="E169" s="839"/>
      <c r="F169" s="839"/>
      <c r="G169" s="839"/>
      <c r="H169" s="839"/>
      <c r="I169" s="839"/>
      <c r="J169" s="839"/>
      <c r="K169" s="839"/>
      <c r="L169" s="839"/>
      <c r="M169" s="839"/>
      <c r="N169" s="345"/>
      <c r="O169" s="839"/>
      <c r="P169" s="839"/>
      <c r="Q169" s="839"/>
      <c r="R169" s="839"/>
      <c r="S169" s="839"/>
      <c r="T169" s="839"/>
      <c r="U169" s="839"/>
      <c r="V169" s="839"/>
      <c r="W169" s="839"/>
      <c r="X169" s="839"/>
      <c r="Y169" s="839"/>
      <c r="Z169" s="839"/>
    </row>
    <row r="170" spans="2:26" s="1239" customFormat="1" ht="19.899999999999999" customHeight="1">
      <c r="B170" s="839"/>
      <c r="C170" s="839"/>
      <c r="D170" s="839"/>
      <c r="E170" s="839"/>
      <c r="F170" s="839"/>
      <c r="G170" s="839"/>
      <c r="H170" s="839"/>
      <c r="I170" s="839"/>
      <c r="J170" s="839"/>
      <c r="K170" s="839"/>
      <c r="L170" s="839"/>
      <c r="M170" s="839"/>
      <c r="N170" s="345"/>
      <c r="O170" s="839"/>
      <c r="P170" s="839"/>
      <c r="Q170" s="839"/>
      <c r="R170" s="839"/>
      <c r="S170" s="839"/>
      <c r="T170" s="839"/>
      <c r="U170" s="839"/>
      <c r="V170" s="839"/>
      <c r="W170" s="839"/>
      <c r="X170" s="839"/>
      <c r="Y170" s="839"/>
      <c r="Z170" s="839"/>
    </row>
    <row r="171" spans="2:26" s="1239" customFormat="1" ht="19.899999999999999" customHeight="1">
      <c r="B171" s="839"/>
      <c r="C171" s="839"/>
      <c r="D171" s="839"/>
      <c r="E171" s="839"/>
      <c r="F171" s="839"/>
      <c r="G171" s="839"/>
      <c r="H171" s="839"/>
      <c r="I171" s="839"/>
      <c r="J171" s="839"/>
      <c r="K171" s="839"/>
      <c r="L171" s="839"/>
      <c r="M171" s="839"/>
      <c r="N171" s="345"/>
      <c r="O171" s="839"/>
      <c r="P171" s="839"/>
      <c r="Q171" s="839"/>
      <c r="R171" s="839"/>
      <c r="S171" s="839"/>
      <c r="T171" s="839"/>
      <c r="U171" s="839"/>
      <c r="V171" s="839"/>
      <c r="W171" s="839"/>
      <c r="X171" s="839"/>
      <c r="Y171" s="839"/>
      <c r="Z171" s="839"/>
    </row>
    <row r="172" spans="2:26" s="1239" customFormat="1" ht="19.899999999999999" customHeight="1">
      <c r="B172" s="839"/>
      <c r="C172" s="839"/>
      <c r="D172" s="839"/>
      <c r="E172" s="839"/>
      <c r="F172" s="839"/>
      <c r="G172" s="839"/>
      <c r="H172" s="839"/>
      <c r="I172" s="839"/>
      <c r="J172" s="839"/>
      <c r="K172" s="839"/>
      <c r="L172" s="839"/>
      <c r="M172" s="839"/>
      <c r="N172" s="345"/>
      <c r="O172" s="839"/>
      <c r="P172" s="839"/>
      <c r="Q172" s="839"/>
      <c r="R172" s="839"/>
      <c r="S172" s="839"/>
      <c r="T172" s="839"/>
      <c r="U172" s="839"/>
      <c r="V172" s="839"/>
      <c r="W172" s="839"/>
      <c r="X172" s="839"/>
      <c r="Y172" s="839"/>
      <c r="Z172" s="839"/>
    </row>
    <row r="173" spans="2:26" s="1239" customFormat="1" ht="19.899999999999999" customHeight="1">
      <c r="B173" s="839"/>
      <c r="C173" s="839"/>
      <c r="D173" s="839"/>
      <c r="E173" s="839"/>
      <c r="F173" s="839"/>
      <c r="G173" s="839"/>
      <c r="H173" s="839"/>
      <c r="I173" s="839"/>
      <c r="J173" s="839"/>
      <c r="K173" s="839"/>
      <c r="L173" s="839"/>
      <c r="M173" s="839"/>
      <c r="N173" s="345"/>
      <c r="O173" s="839"/>
      <c r="P173" s="839"/>
      <c r="Q173" s="839"/>
      <c r="R173" s="839"/>
      <c r="S173" s="839"/>
      <c r="T173" s="839"/>
      <c r="U173" s="839"/>
      <c r="V173" s="839"/>
      <c r="W173" s="839"/>
      <c r="X173" s="839"/>
      <c r="Y173" s="839"/>
      <c r="Z173" s="839"/>
    </row>
    <row r="174" spans="2:26" s="1239" customFormat="1" ht="19.899999999999999" customHeight="1">
      <c r="B174" s="839"/>
      <c r="C174" s="839"/>
      <c r="D174" s="839"/>
      <c r="E174" s="839"/>
      <c r="F174" s="839"/>
      <c r="G174" s="839"/>
      <c r="H174" s="839"/>
      <c r="I174" s="839"/>
      <c r="J174" s="839"/>
      <c r="K174" s="839"/>
      <c r="L174" s="839"/>
      <c r="M174" s="839"/>
      <c r="N174" s="345"/>
      <c r="O174" s="839"/>
      <c r="P174" s="839"/>
      <c r="Q174" s="839"/>
      <c r="R174" s="839"/>
      <c r="S174" s="839"/>
      <c r="T174" s="839"/>
      <c r="U174" s="839"/>
      <c r="V174" s="839"/>
      <c r="W174" s="839"/>
      <c r="X174" s="839"/>
      <c r="Y174" s="839"/>
      <c r="Z174" s="839"/>
    </row>
    <row r="175" spans="2:26" s="1239" customFormat="1" ht="19.899999999999999" customHeight="1">
      <c r="B175" s="839"/>
      <c r="C175" s="839"/>
      <c r="D175" s="839"/>
      <c r="E175" s="839"/>
      <c r="F175" s="839"/>
      <c r="G175" s="839"/>
      <c r="H175" s="839"/>
      <c r="I175" s="839"/>
      <c r="J175" s="839"/>
      <c r="K175" s="839"/>
      <c r="L175" s="839"/>
      <c r="M175" s="839"/>
      <c r="N175" s="345"/>
      <c r="O175" s="839"/>
      <c r="P175" s="839"/>
      <c r="Q175" s="839"/>
      <c r="R175" s="839"/>
      <c r="S175" s="839"/>
      <c r="T175" s="839"/>
      <c r="U175" s="839"/>
      <c r="V175" s="839"/>
      <c r="W175" s="839"/>
      <c r="X175" s="839"/>
      <c r="Y175" s="839"/>
      <c r="Z175" s="839"/>
    </row>
    <row r="176" spans="2:26" s="1239" customFormat="1" ht="19.899999999999999" customHeight="1">
      <c r="B176" s="839"/>
      <c r="C176" s="839"/>
      <c r="D176" s="839"/>
      <c r="E176" s="839"/>
      <c r="F176" s="839"/>
      <c r="G176" s="839"/>
      <c r="H176" s="839"/>
      <c r="I176" s="839"/>
      <c r="J176" s="839"/>
      <c r="K176" s="839"/>
      <c r="L176" s="839"/>
      <c r="M176" s="839"/>
      <c r="N176" s="345"/>
      <c r="O176" s="839"/>
      <c r="P176" s="839"/>
      <c r="Q176" s="839"/>
      <c r="R176" s="839"/>
      <c r="S176" s="839"/>
      <c r="T176" s="839"/>
      <c r="U176" s="839"/>
      <c r="V176" s="839"/>
      <c r="W176" s="839"/>
      <c r="X176" s="839"/>
      <c r="Y176" s="839"/>
      <c r="Z176" s="839"/>
    </row>
    <row r="177" spans="2:26" s="1239" customFormat="1" ht="19.899999999999999" customHeight="1">
      <c r="B177" s="839"/>
      <c r="C177" s="839"/>
      <c r="D177" s="839"/>
      <c r="E177" s="839"/>
      <c r="F177" s="839"/>
      <c r="G177" s="839"/>
      <c r="H177" s="839"/>
      <c r="I177" s="839"/>
      <c r="J177" s="839"/>
      <c r="K177" s="839"/>
      <c r="L177" s="839"/>
      <c r="M177" s="839"/>
      <c r="N177" s="345"/>
      <c r="O177" s="839"/>
      <c r="P177" s="839"/>
      <c r="Q177" s="839"/>
      <c r="R177" s="839"/>
      <c r="S177" s="839"/>
      <c r="T177" s="839"/>
      <c r="U177" s="839"/>
      <c r="V177" s="839"/>
      <c r="W177" s="839"/>
      <c r="X177" s="839"/>
      <c r="Y177" s="839"/>
      <c r="Z177" s="839"/>
    </row>
    <row r="178" spans="2:26" s="1239" customFormat="1" ht="19.899999999999999" customHeight="1">
      <c r="B178" s="839"/>
      <c r="C178" s="839"/>
      <c r="D178" s="839"/>
      <c r="E178" s="839"/>
      <c r="F178" s="839"/>
      <c r="G178" s="839"/>
      <c r="H178" s="839"/>
      <c r="I178" s="839"/>
      <c r="J178" s="839"/>
      <c r="K178" s="839"/>
      <c r="L178" s="839"/>
      <c r="M178" s="839"/>
      <c r="N178" s="345"/>
      <c r="O178" s="839"/>
      <c r="P178" s="839"/>
      <c r="Q178" s="839"/>
      <c r="R178" s="839"/>
      <c r="S178" s="839"/>
      <c r="T178" s="839"/>
      <c r="U178" s="839"/>
      <c r="V178" s="839"/>
      <c r="W178" s="839"/>
      <c r="X178" s="839"/>
      <c r="Y178" s="839"/>
      <c r="Z178" s="839"/>
    </row>
    <row r="179" spans="2:26" s="1239" customFormat="1" ht="19.899999999999999" customHeight="1">
      <c r="B179" s="839"/>
      <c r="C179" s="839"/>
      <c r="D179" s="839"/>
      <c r="E179" s="839"/>
      <c r="F179" s="839"/>
      <c r="G179" s="839"/>
      <c r="H179" s="839"/>
      <c r="I179" s="839"/>
      <c r="J179" s="839"/>
      <c r="K179" s="839"/>
      <c r="L179" s="839"/>
      <c r="M179" s="839"/>
      <c r="N179" s="345"/>
      <c r="O179" s="839"/>
      <c r="P179" s="839"/>
      <c r="Q179" s="839"/>
      <c r="R179" s="839"/>
      <c r="S179" s="839"/>
      <c r="T179" s="839"/>
      <c r="U179" s="839"/>
      <c r="V179" s="839"/>
      <c r="W179" s="839"/>
      <c r="X179" s="839"/>
      <c r="Y179" s="839"/>
      <c r="Z179" s="839"/>
    </row>
    <row r="180" spans="2:26" s="1239" customFormat="1" ht="19.899999999999999" customHeight="1">
      <c r="B180" s="839"/>
      <c r="C180" s="839"/>
      <c r="D180" s="839"/>
      <c r="E180" s="839"/>
      <c r="F180" s="839"/>
      <c r="G180" s="839"/>
      <c r="H180" s="839"/>
      <c r="I180" s="839"/>
      <c r="J180" s="839"/>
      <c r="K180" s="839"/>
      <c r="L180" s="839"/>
      <c r="M180" s="839"/>
      <c r="N180" s="345"/>
      <c r="O180" s="839"/>
      <c r="P180" s="839"/>
      <c r="Q180" s="839"/>
      <c r="R180" s="839"/>
      <c r="S180" s="839"/>
      <c r="T180" s="839"/>
      <c r="U180" s="839"/>
      <c r="V180" s="839"/>
      <c r="W180" s="839"/>
      <c r="X180" s="839"/>
      <c r="Y180" s="839"/>
      <c r="Z180" s="839"/>
    </row>
    <row r="181" spans="2:26" s="1239" customFormat="1" ht="19.899999999999999" customHeight="1">
      <c r="B181" s="839"/>
      <c r="C181" s="839"/>
      <c r="D181" s="839"/>
      <c r="E181" s="839"/>
      <c r="F181" s="839"/>
      <c r="G181" s="839"/>
      <c r="H181" s="839"/>
      <c r="I181" s="839"/>
      <c r="J181" s="839"/>
      <c r="K181" s="839"/>
      <c r="L181" s="839"/>
      <c r="M181" s="839"/>
      <c r="N181" s="345"/>
      <c r="O181" s="839"/>
      <c r="P181" s="839"/>
      <c r="Q181" s="839"/>
      <c r="R181" s="839"/>
      <c r="S181" s="839"/>
      <c r="T181" s="839"/>
      <c r="U181" s="839"/>
      <c r="V181" s="839"/>
      <c r="W181" s="839"/>
      <c r="X181" s="839"/>
      <c r="Y181" s="839"/>
      <c r="Z181" s="839"/>
    </row>
    <row r="182" spans="2:26" s="1239" customFormat="1" ht="19.899999999999999" customHeight="1">
      <c r="B182" s="839"/>
      <c r="C182" s="839"/>
      <c r="D182" s="839"/>
      <c r="E182" s="839"/>
      <c r="F182" s="839"/>
      <c r="G182" s="839"/>
      <c r="H182" s="839"/>
      <c r="I182" s="839"/>
      <c r="J182" s="839"/>
      <c r="K182" s="839"/>
      <c r="L182" s="839"/>
      <c r="M182" s="839"/>
      <c r="N182" s="345"/>
      <c r="O182" s="839"/>
      <c r="P182" s="839"/>
      <c r="Q182" s="839"/>
      <c r="R182" s="839"/>
      <c r="S182" s="839"/>
      <c r="T182" s="839"/>
      <c r="U182" s="839"/>
      <c r="V182" s="839"/>
      <c r="W182" s="839"/>
      <c r="X182" s="839"/>
      <c r="Y182" s="839"/>
      <c r="Z182" s="839"/>
    </row>
    <row r="183" spans="2:26" s="1239" customFormat="1" ht="19.899999999999999" customHeight="1">
      <c r="B183" s="839"/>
      <c r="C183" s="839"/>
      <c r="D183" s="839"/>
      <c r="E183" s="839"/>
      <c r="F183" s="839"/>
      <c r="G183" s="839"/>
      <c r="H183" s="839"/>
      <c r="I183" s="839"/>
      <c r="J183" s="839"/>
      <c r="K183" s="839"/>
      <c r="L183" s="839"/>
      <c r="M183" s="839"/>
      <c r="N183" s="345"/>
      <c r="O183" s="839"/>
      <c r="P183" s="839"/>
      <c r="Q183" s="839"/>
      <c r="R183" s="839"/>
      <c r="S183" s="839"/>
      <c r="T183" s="839"/>
      <c r="U183" s="839"/>
      <c r="V183" s="839"/>
      <c r="W183" s="839"/>
      <c r="X183" s="839"/>
      <c r="Y183" s="839"/>
      <c r="Z183" s="839"/>
    </row>
    <row r="184" spans="2:26" s="1239" customFormat="1" ht="19.899999999999999" customHeight="1">
      <c r="B184" s="839"/>
      <c r="C184" s="839"/>
      <c r="D184" s="839"/>
      <c r="E184" s="839"/>
      <c r="F184" s="839"/>
      <c r="G184" s="839"/>
      <c r="H184" s="839"/>
      <c r="I184" s="839"/>
      <c r="J184" s="839"/>
      <c r="K184" s="839"/>
      <c r="L184" s="839"/>
      <c r="M184" s="839"/>
      <c r="N184" s="345"/>
      <c r="O184" s="839"/>
      <c r="P184" s="839"/>
      <c r="Q184" s="839"/>
      <c r="R184" s="839"/>
      <c r="S184" s="839"/>
      <c r="T184" s="839"/>
      <c r="U184" s="839"/>
      <c r="V184" s="839"/>
      <c r="W184" s="839"/>
      <c r="X184" s="839"/>
      <c r="Y184" s="839"/>
      <c r="Z184" s="839"/>
    </row>
    <row r="185" spans="2:26" s="1239" customFormat="1" ht="19.899999999999999" customHeight="1">
      <c r="B185" s="839"/>
      <c r="C185" s="839"/>
      <c r="D185" s="839"/>
      <c r="E185" s="839"/>
      <c r="F185" s="839"/>
      <c r="G185" s="839"/>
      <c r="H185" s="839"/>
      <c r="I185" s="839"/>
      <c r="J185" s="839"/>
      <c r="K185" s="839"/>
      <c r="L185" s="839"/>
      <c r="M185" s="839"/>
      <c r="N185" s="345"/>
      <c r="O185" s="839"/>
      <c r="P185" s="839"/>
      <c r="Q185" s="839"/>
      <c r="R185" s="839"/>
      <c r="S185" s="839"/>
      <c r="T185" s="839"/>
      <c r="U185" s="839"/>
      <c r="V185" s="839"/>
      <c r="W185" s="839"/>
      <c r="X185" s="839"/>
      <c r="Y185" s="839"/>
      <c r="Z185" s="839"/>
    </row>
    <row r="186" spans="2:26" s="1239" customFormat="1" ht="19.899999999999999" customHeight="1">
      <c r="B186" s="839"/>
      <c r="C186" s="839"/>
      <c r="D186" s="839"/>
      <c r="E186" s="839"/>
      <c r="F186" s="839"/>
      <c r="G186" s="839"/>
      <c r="H186" s="839"/>
      <c r="I186" s="839"/>
      <c r="J186" s="839"/>
      <c r="K186" s="839"/>
      <c r="L186" s="839"/>
      <c r="M186" s="839"/>
      <c r="N186" s="345"/>
      <c r="O186" s="839"/>
      <c r="P186" s="839"/>
      <c r="Q186" s="839"/>
      <c r="R186" s="839"/>
      <c r="S186" s="839"/>
      <c r="T186" s="839"/>
      <c r="U186" s="839"/>
      <c r="V186" s="839"/>
      <c r="W186" s="839"/>
      <c r="X186" s="839"/>
      <c r="Y186" s="839"/>
      <c r="Z186" s="839"/>
    </row>
    <row r="187" spans="2:26" s="1239" customFormat="1" ht="19.899999999999999" customHeight="1">
      <c r="B187" s="839"/>
      <c r="C187" s="839"/>
      <c r="D187" s="839"/>
      <c r="E187" s="839"/>
      <c r="F187" s="839"/>
      <c r="G187" s="839"/>
      <c r="H187" s="839"/>
      <c r="I187" s="839"/>
      <c r="J187" s="839"/>
      <c r="K187" s="839"/>
      <c r="L187" s="839"/>
      <c r="M187" s="839"/>
      <c r="N187" s="345"/>
      <c r="O187" s="839"/>
      <c r="P187" s="839"/>
      <c r="Q187" s="839"/>
      <c r="R187" s="839"/>
      <c r="S187" s="839"/>
      <c r="T187" s="839"/>
      <c r="U187" s="839"/>
      <c r="V187" s="839"/>
      <c r="W187" s="839"/>
      <c r="X187" s="839"/>
      <c r="Y187" s="839"/>
      <c r="Z187" s="839"/>
    </row>
    <row r="188" spans="2:26" s="1239" customFormat="1" ht="19.899999999999999" customHeight="1">
      <c r="B188" s="839"/>
      <c r="C188" s="839"/>
      <c r="D188" s="839"/>
      <c r="E188" s="839"/>
      <c r="F188" s="839"/>
      <c r="G188" s="839"/>
      <c r="H188" s="839"/>
      <c r="I188" s="839"/>
      <c r="J188" s="839"/>
      <c r="K188" s="839"/>
      <c r="L188" s="839"/>
      <c r="M188" s="839"/>
      <c r="N188" s="345"/>
      <c r="O188" s="839"/>
      <c r="P188" s="839"/>
      <c r="Q188" s="839"/>
      <c r="R188" s="839"/>
      <c r="S188" s="839"/>
      <c r="T188" s="839"/>
      <c r="U188" s="839"/>
      <c r="V188" s="839"/>
      <c r="W188" s="839"/>
      <c r="X188" s="839"/>
      <c r="Y188" s="839"/>
      <c r="Z188" s="839"/>
    </row>
    <row r="189" spans="2:26" s="1239" customFormat="1" ht="19.899999999999999" customHeight="1">
      <c r="B189" s="839"/>
      <c r="C189" s="839"/>
      <c r="D189" s="839"/>
      <c r="E189" s="839"/>
      <c r="F189" s="839"/>
      <c r="G189" s="839"/>
      <c r="H189" s="839"/>
      <c r="I189" s="839"/>
      <c r="J189" s="839"/>
      <c r="K189" s="839"/>
      <c r="L189" s="839"/>
      <c r="M189" s="839"/>
      <c r="N189" s="345"/>
      <c r="O189" s="839"/>
      <c r="P189" s="839"/>
      <c r="Q189" s="839"/>
      <c r="R189" s="839"/>
      <c r="S189" s="839"/>
      <c r="T189" s="839"/>
      <c r="U189" s="839"/>
      <c r="V189" s="839"/>
      <c r="W189" s="839"/>
      <c r="X189" s="839"/>
      <c r="Y189" s="839"/>
      <c r="Z189" s="839"/>
    </row>
    <row r="190" spans="2:26" s="1239" customFormat="1" ht="19.899999999999999" customHeight="1">
      <c r="B190" s="839"/>
      <c r="C190" s="839"/>
      <c r="D190" s="839"/>
      <c r="E190" s="839"/>
      <c r="F190" s="839"/>
      <c r="G190" s="839"/>
      <c r="H190" s="839"/>
      <c r="I190" s="839"/>
      <c r="J190" s="839"/>
      <c r="K190" s="839"/>
      <c r="L190" s="839"/>
      <c r="M190" s="839"/>
      <c r="N190" s="345"/>
      <c r="O190" s="839"/>
      <c r="P190" s="839"/>
      <c r="Q190" s="839"/>
      <c r="R190" s="839"/>
      <c r="S190" s="839"/>
      <c r="T190" s="839"/>
      <c r="U190" s="839"/>
      <c r="V190" s="839"/>
      <c r="W190" s="839"/>
      <c r="X190" s="839"/>
      <c r="Y190" s="839"/>
      <c r="Z190" s="839"/>
    </row>
    <row r="191" spans="2:26" s="1239" customFormat="1" ht="19.899999999999999" customHeight="1">
      <c r="B191" s="839"/>
      <c r="C191" s="839"/>
      <c r="D191" s="839"/>
      <c r="E191" s="839"/>
      <c r="F191" s="839"/>
      <c r="G191" s="839"/>
      <c r="H191" s="839"/>
      <c r="I191" s="839"/>
      <c r="J191" s="839"/>
      <c r="K191" s="839"/>
      <c r="L191" s="839"/>
      <c r="M191" s="839"/>
      <c r="N191" s="345"/>
      <c r="O191" s="839"/>
      <c r="P191" s="839"/>
      <c r="Q191" s="839"/>
      <c r="R191" s="839"/>
      <c r="S191" s="839"/>
      <c r="T191" s="839"/>
      <c r="U191" s="839"/>
      <c r="V191" s="839"/>
      <c r="W191" s="839"/>
      <c r="X191" s="839"/>
      <c r="Y191" s="839"/>
      <c r="Z191" s="839"/>
    </row>
    <row r="192" spans="2:26" s="1239" customFormat="1" ht="19.899999999999999" customHeight="1">
      <c r="B192" s="839"/>
      <c r="C192" s="839"/>
      <c r="D192" s="839"/>
      <c r="E192" s="839"/>
      <c r="F192" s="839"/>
      <c r="G192" s="839"/>
      <c r="H192" s="839"/>
      <c r="I192" s="839"/>
      <c r="J192" s="839"/>
      <c r="K192" s="839"/>
      <c r="L192" s="839"/>
      <c r="M192" s="839"/>
      <c r="N192" s="345"/>
      <c r="O192" s="839"/>
      <c r="P192" s="839"/>
      <c r="Q192" s="839"/>
      <c r="R192" s="839"/>
      <c r="S192" s="839"/>
      <c r="T192" s="839"/>
      <c r="U192" s="839"/>
      <c r="V192" s="839"/>
      <c r="W192" s="839"/>
      <c r="X192" s="839"/>
      <c r="Y192" s="839"/>
      <c r="Z192" s="839"/>
    </row>
    <row r="193" spans="2:26" s="1239" customFormat="1" ht="19.899999999999999" customHeight="1">
      <c r="B193" s="839"/>
      <c r="C193" s="839"/>
      <c r="D193" s="839"/>
      <c r="E193" s="839"/>
      <c r="F193" s="839"/>
      <c r="G193" s="839"/>
      <c r="H193" s="839"/>
      <c r="I193" s="839"/>
      <c r="J193" s="839"/>
      <c r="K193" s="839"/>
      <c r="L193" s="839"/>
      <c r="M193" s="839"/>
      <c r="N193" s="345"/>
      <c r="O193" s="839"/>
      <c r="P193" s="839"/>
      <c r="Q193" s="839"/>
      <c r="R193" s="839"/>
      <c r="S193" s="839"/>
      <c r="T193" s="839"/>
      <c r="U193" s="839"/>
      <c r="V193" s="839"/>
      <c r="W193" s="839"/>
      <c r="X193" s="839"/>
      <c r="Y193" s="839"/>
      <c r="Z193" s="839"/>
    </row>
    <row r="194" spans="2:26" s="1239" customFormat="1" ht="19.899999999999999" customHeight="1">
      <c r="B194" s="839"/>
      <c r="C194" s="839"/>
      <c r="D194" s="839"/>
      <c r="E194" s="839"/>
      <c r="F194" s="839"/>
      <c r="G194" s="839"/>
      <c r="H194" s="839"/>
      <c r="I194" s="839"/>
      <c r="J194" s="839"/>
      <c r="K194" s="839"/>
      <c r="L194" s="839"/>
      <c r="M194" s="839"/>
      <c r="N194" s="345"/>
      <c r="O194" s="839"/>
      <c r="P194" s="839"/>
      <c r="Q194" s="839"/>
      <c r="R194" s="839"/>
      <c r="S194" s="839"/>
      <c r="T194" s="839"/>
      <c r="U194" s="839"/>
      <c r="V194" s="839"/>
      <c r="W194" s="839"/>
      <c r="X194" s="839"/>
      <c r="Y194" s="839"/>
      <c r="Z194" s="839"/>
    </row>
    <row r="195" spans="2:26" s="1239" customFormat="1" ht="19.899999999999999" customHeight="1">
      <c r="B195" s="839"/>
      <c r="C195" s="839"/>
      <c r="D195" s="839"/>
      <c r="E195" s="839"/>
      <c r="F195" s="839"/>
      <c r="G195" s="839"/>
      <c r="H195" s="839"/>
      <c r="I195" s="839"/>
      <c r="J195" s="839"/>
      <c r="K195" s="839"/>
      <c r="L195" s="839"/>
      <c r="M195" s="839"/>
      <c r="N195" s="345"/>
      <c r="O195" s="839"/>
      <c r="P195" s="839"/>
      <c r="Q195" s="839"/>
      <c r="R195" s="839"/>
      <c r="S195" s="839"/>
      <c r="T195" s="839"/>
      <c r="U195" s="839"/>
      <c r="V195" s="839"/>
      <c r="W195" s="839"/>
      <c r="X195" s="839"/>
      <c r="Y195" s="839"/>
      <c r="Z195" s="839"/>
    </row>
    <row r="196" spans="2:26" s="1239" customFormat="1" ht="19.899999999999999" customHeight="1">
      <c r="B196" s="839"/>
      <c r="C196" s="839"/>
      <c r="D196" s="839"/>
      <c r="E196" s="839"/>
      <c r="F196" s="839"/>
      <c r="G196" s="839"/>
      <c r="H196" s="839"/>
      <c r="I196" s="839"/>
      <c r="J196" s="839"/>
      <c r="K196" s="839"/>
      <c r="L196" s="839"/>
      <c r="M196" s="839"/>
      <c r="N196" s="345"/>
      <c r="O196" s="839"/>
      <c r="P196" s="839"/>
      <c r="Q196" s="839"/>
      <c r="R196" s="839"/>
      <c r="S196" s="839"/>
      <c r="T196" s="839"/>
      <c r="U196" s="839"/>
      <c r="V196" s="839"/>
      <c r="W196" s="839"/>
      <c r="X196" s="839"/>
      <c r="Y196" s="839"/>
      <c r="Z196" s="839"/>
    </row>
    <row r="197" spans="2:26" s="1239" customFormat="1" ht="19.899999999999999" customHeight="1">
      <c r="B197" s="839"/>
      <c r="C197" s="839"/>
      <c r="D197" s="839"/>
      <c r="E197" s="839"/>
      <c r="F197" s="839"/>
      <c r="G197" s="839"/>
      <c r="H197" s="839"/>
      <c r="I197" s="839"/>
      <c r="J197" s="839"/>
      <c r="K197" s="839"/>
      <c r="L197" s="839"/>
      <c r="M197" s="839"/>
      <c r="N197" s="345"/>
      <c r="O197" s="839"/>
      <c r="P197" s="839"/>
      <c r="Q197" s="839"/>
      <c r="R197" s="839"/>
      <c r="S197" s="839"/>
      <c r="T197" s="839"/>
      <c r="U197" s="839"/>
      <c r="V197" s="839"/>
      <c r="W197" s="839"/>
      <c r="X197" s="839"/>
      <c r="Y197" s="839"/>
      <c r="Z197" s="839"/>
    </row>
    <row r="198" spans="2:26" s="1239" customFormat="1" ht="19.899999999999999" customHeight="1">
      <c r="B198" s="839"/>
      <c r="C198" s="839"/>
      <c r="D198" s="839"/>
      <c r="E198" s="839"/>
      <c r="F198" s="839"/>
      <c r="G198" s="839"/>
      <c r="H198" s="839"/>
      <c r="I198" s="839"/>
      <c r="J198" s="839"/>
      <c r="K198" s="839"/>
      <c r="L198" s="839"/>
      <c r="M198" s="839"/>
      <c r="N198" s="345"/>
      <c r="O198" s="839"/>
      <c r="P198" s="839"/>
      <c r="Q198" s="839"/>
      <c r="R198" s="839"/>
      <c r="S198" s="839"/>
      <c r="T198" s="839"/>
      <c r="U198" s="839"/>
      <c r="V198" s="839"/>
      <c r="W198" s="839"/>
      <c r="X198" s="839"/>
      <c r="Y198" s="839"/>
      <c r="Z198" s="839"/>
    </row>
    <row r="199" spans="2:26" s="1239" customFormat="1" ht="19.899999999999999" customHeight="1">
      <c r="B199" s="839"/>
      <c r="C199" s="839"/>
      <c r="D199" s="839"/>
      <c r="E199" s="839"/>
      <c r="F199" s="839"/>
      <c r="G199" s="839"/>
      <c r="H199" s="839"/>
      <c r="I199" s="839"/>
      <c r="J199" s="839"/>
      <c r="K199" s="839"/>
      <c r="L199" s="839"/>
      <c r="M199" s="839"/>
      <c r="N199" s="345"/>
      <c r="O199" s="839"/>
      <c r="P199" s="839"/>
      <c r="Q199" s="839"/>
      <c r="R199" s="839"/>
      <c r="S199" s="839"/>
      <c r="T199" s="839"/>
      <c r="U199" s="839"/>
      <c r="V199" s="839"/>
      <c r="W199" s="839"/>
      <c r="X199" s="839"/>
      <c r="Y199" s="839"/>
      <c r="Z199" s="839"/>
    </row>
    <row r="200" spans="2:26" s="1239" customFormat="1" ht="19.899999999999999" customHeight="1">
      <c r="B200" s="839"/>
      <c r="C200" s="839"/>
      <c r="D200" s="839"/>
      <c r="E200" s="839"/>
      <c r="F200" s="839"/>
      <c r="G200" s="839"/>
      <c r="H200" s="839"/>
      <c r="I200" s="839"/>
      <c r="J200" s="839"/>
      <c r="K200" s="839"/>
      <c r="L200" s="839"/>
      <c r="M200" s="839"/>
      <c r="N200" s="345"/>
      <c r="O200" s="839"/>
      <c r="P200" s="839"/>
      <c r="Q200" s="839"/>
      <c r="R200" s="839"/>
      <c r="S200" s="839"/>
      <c r="T200" s="839"/>
      <c r="U200" s="839"/>
      <c r="V200" s="839"/>
      <c r="W200" s="839"/>
      <c r="X200" s="839"/>
      <c r="Y200" s="839"/>
      <c r="Z200" s="839"/>
    </row>
    <row r="201" spans="2:26" s="1239" customFormat="1" ht="19.899999999999999" customHeight="1">
      <c r="B201" s="839"/>
      <c r="C201" s="839"/>
      <c r="D201" s="839"/>
      <c r="E201" s="839"/>
      <c r="F201" s="839"/>
      <c r="G201" s="839"/>
      <c r="H201" s="839"/>
      <c r="I201" s="839"/>
      <c r="J201" s="839"/>
      <c r="K201" s="839"/>
      <c r="L201" s="839"/>
      <c r="M201" s="839"/>
      <c r="N201" s="345"/>
      <c r="O201" s="839"/>
      <c r="P201" s="839"/>
      <c r="Q201" s="839"/>
      <c r="R201" s="839"/>
      <c r="S201" s="839"/>
      <c r="T201" s="839"/>
      <c r="U201" s="839"/>
      <c r="V201" s="839"/>
      <c r="W201" s="839"/>
      <c r="X201" s="839"/>
      <c r="Y201" s="839"/>
      <c r="Z201" s="839"/>
    </row>
    <row r="202" spans="2:26" s="1239" customFormat="1" ht="19.899999999999999" customHeight="1">
      <c r="B202" s="839"/>
      <c r="C202" s="839"/>
      <c r="D202" s="839"/>
      <c r="E202" s="839"/>
      <c r="F202" s="839"/>
      <c r="G202" s="839"/>
      <c r="H202" s="839"/>
      <c r="I202" s="839"/>
      <c r="J202" s="839"/>
      <c r="K202" s="839"/>
      <c r="L202" s="839"/>
      <c r="M202" s="839"/>
      <c r="N202" s="345"/>
      <c r="O202" s="839"/>
      <c r="P202" s="839"/>
      <c r="Q202" s="839"/>
      <c r="R202" s="839"/>
      <c r="S202" s="839"/>
      <c r="T202" s="839"/>
      <c r="U202" s="839"/>
      <c r="V202" s="839"/>
      <c r="W202" s="839"/>
      <c r="X202" s="839"/>
      <c r="Y202" s="839"/>
      <c r="Z202" s="839"/>
    </row>
    <row r="203" spans="2:26" s="1239" customFormat="1" ht="19.899999999999999" customHeight="1">
      <c r="B203" s="839"/>
      <c r="C203" s="839"/>
      <c r="D203" s="839"/>
      <c r="E203" s="839"/>
      <c r="F203" s="839"/>
      <c r="G203" s="839"/>
      <c r="H203" s="839"/>
      <c r="I203" s="839"/>
      <c r="J203" s="839"/>
      <c r="K203" s="839"/>
      <c r="L203" s="839"/>
      <c r="M203" s="839"/>
      <c r="N203" s="345"/>
      <c r="O203" s="839"/>
      <c r="P203" s="839"/>
      <c r="Q203" s="839"/>
      <c r="R203" s="839"/>
      <c r="S203" s="839"/>
      <c r="T203" s="839"/>
      <c r="U203" s="839"/>
      <c r="V203" s="839"/>
      <c r="W203" s="839"/>
      <c r="X203" s="839"/>
      <c r="Y203" s="839"/>
      <c r="Z203" s="839"/>
    </row>
    <row r="204" spans="2:26" s="1239" customFormat="1" ht="19.899999999999999" customHeight="1">
      <c r="B204" s="839"/>
      <c r="C204" s="839"/>
      <c r="D204" s="839"/>
      <c r="E204" s="839"/>
      <c r="F204" s="839"/>
      <c r="G204" s="839"/>
      <c r="H204" s="839"/>
      <c r="I204" s="839"/>
      <c r="J204" s="839"/>
      <c r="K204" s="839"/>
      <c r="L204" s="839"/>
      <c r="M204" s="839"/>
      <c r="N204" s="345"/>
      <c r="O204" s="839"/>
      <c r="P204" s="839"/>
      <c r="Q204" s="839"/>
      <c r="R204" s="839"/>
      <c r="S204" s="839"/>
      <c r="T204" s="839"/>
      <c r="U204" s="839"/>
      <c r="V204" s="839"/>
      <c r="W204" s="839"/>
      <c r="X204" s="839"/>
      <c r="Y204" s="839"/>
      <c r="Z204" s="839"/>
    </row>
    <row r="205" spans="2:26" s="1239" customFormat="1" ht="19.899999999999999" customHeight="1">
      <c r="B205" s="839"/>
      <c r="C205" s="839"/>
      <c r="D205" s="839"/>
      <c r="E205" s="839"/>
      <c r="F205" s="839"/>
      <c r="G205" s="839"/>
      <c r="H205" s="839"/>
      <c r="I205" s="839"/>
      <c r="J205" s="839"/>
      <c r="K205" s="839"/>
      <c r="L205" s="839"/>
      <c r="M205" s="839"/>
      <c r="N205" s="345"/>
      <c r="O205" s="839"/>
      <c r="P205" s="839"/>
      <c r="Q205" s="839"/>
      <c r="R205" s="839"/>
      <c r="S205" s="839"/>
      <c r="T205" s="839"/>
      <c r="U205" s="839"/>
      <c r="V205" s="839"/>
      <c r="W205" s="839"/>
      <c r="X205" s="839"/>
      <c r="Y205" s="839"/>
      <c r="Z205" s="839"/>
    </row>
    <row r="206" spans="2:26" s="1239" customFormat="1" ht="19.899999999999999" customHeight="1">
      <c r="B206" s="839"/>
      <c r="C206" s="839"/>
      <c r="D206" s="839"/>
      <c r="E206" s="839"/>
      <c r="F206" s="839"/>
      <c r="G206" s="839"/>
      <c r="H206" s="839"/>
      <c r="I206" s="839"/>
      <c r="J206" s="839"/>
      <c r="K206" s="839"/>
      <c r="L206" s="839"/>
      <c r="M206" s="839"/>
      <c r="N206" s="345"/>
      <c r="O206" s="839"/>
      <c r="P206" s="839"/>
      <c r="Q206" s="839"/>
      <c r="R206" s="839"/>
      <c r="S206" s="839"/>
      <c r="T206" s="839"/>
      <c r="U206" s="839"/>
      <c r="V206" s="839"/>
      <c r="W206" s="839"/>
      <c r="X206" s="839"/>
      <c r="Y206" s="839"/>
      <c r="Z206" s="839"/>
    </row>
    <row r="207" spans="2:26" s="1239" customFormat="1" ht="19.899999999999999" customHeight="1">
      <c r="B207" s="839"/>
      <c r="C207" s="839"/>
      <c r="D207" s="839"/>
      <c r="E207" s="839"/>
      <c r="F207" s="839"/>
      <c r="G207" s="839"/>
      <c r="H207" s="839"/>
      <c r="I207" s="839"/>
      <c r="J207" s="839"/>
      <c r="K207" s="839"/>
      <c r="L207" s="839"/>
      <c r="M207" s="839"/>
      <c r="N207" s="345"/>
      <c r="O207" s="839"/>
      <c r="P207" s="839"/>
      <c r="Q207" s="839"/>
      <c r="R207" s="839"/>
      <c r="S207" s="839"/>
      <c r="T207" s="839"/>
      <c r="U207" s="839"/>
      <c r="V207" s="839"/>
      <c r="W207" s="839"/>
      <c r="X207" s="839"/>
      <c r="Y207" s="839"/>
      <c r="Z207" s="839"/>
    </row>
    <row r="208" spans="2:26" s="1239" customFormat="1" ht="19.899999999999999" customHeight="1">
      <c r="B208" s="839"/>
      <c r="C208" s="839"/>
      <c r="D208" s="839"/>
      <c r="E208" s="839"/>
      <c r="F208" s="839"/>
      <c r="G208" s="839"/>
      <c r="H208" s="839"/>
      <c r="I208" s="839"/>
      <c r="J208" s="839"/>
      <c r="K208" s="839"/>
      <c r="L208" s="839"/>
      <c r="M208" s="839"/>
      <c r="N208" s="345"/>
      <c r="O208" s="839"/>
      <c r="P208" s="839"/>
      <c r="Q208" s="839"/>
      <c r="R208" s="839"/>
      <c r="S208" s="839"/>
      <c r="T208" s="839"/>
      <c r="U208" s="839"/>
      <c r="V208" s="839"/>
      <c r="W208" s="839"/>
      <c r="X208" s="839"/>
      <c r="Y208" s="839"/>
      <c r="Z208" s="839"/>
    </row>
    <row r="209" spans="2:26" s="1239" customFormat="1" ht="19.899999999999999" customHeight="1">
      <c r="B209" s="839"/>
      <c r="C209" s="839"/>
      <c r="D209" s="839"/>
      <c r="E209" s="839"/>
      <c r="F209" s="839"/>
      <c r="G209" s="839"/>
      <c r="H209" s="839"/>
      <c r="I209" s="839"/>
      <c r="J209" s="839"/>
      <c r="K209" s="839"/>
      <c r="L209" s="839"/>
      <c r="M209" s="839"/>
      <c r="N209" s="345"/>
      <c r="O209" s="839"/>
      <c r="P209" s="839"/>
      <c r="Q209" s="839"/>
      <c r="R209" s="839"/>
      <c r="S209" s="839"/>
      <c r="T209" s="839"/>
      <c r="U209" s="839"/>
      <c r="V209" s="839"/>
      <c r="W209" s="839"/>
      <c r="X209" s="839"/>
      <c r="Y209" s="839"/>
      <c r="Z209" s="839"/>
    </row>
    <row r="210" spans="2:26" s="1239" customFormat="1" ht="19.899999999999999" customHeight="1">
      <c r="B210" s="839"/>
      <c r="C210" s="839"/>
      <c r="D210" s="839"/>
      <c r="E210" s="839"/>
      <c r="F210" s="839"/>
      <c r="G210" s="839"/>
      <c r="H210" s="839"/>
      <c r="I210" s="839"/>
      <c r="J210" s="839"/>
      <c r="K210" s="839"/>
      <c r="L210" s="839"/>
      <c r="M210" s="839"/>
      <c r="N210" s="345"/>
      <c r="O210" s="839"/>
      <c r="P210" s="839"/>
      <c r="Q210" s="839"/>
      <c r="R210" s="839"/>
      <c r="S210" s="839"/>
      <c r="T210" s="839"/>
      <c r="U210" s="839"/>
      <c r="V210" s="839"/>
      <c r="W210" s="839"/>
      <c r="X210" s="839"/>
      <c r="Y210" s="839"/>
      <c r="Z210" s="839"/>
    </row>
    <row r="211" spans="2:26" s="1239" customFormat="1" ht="19.899999999999999" customHeight="1">
      <c r="B211" s="839"/>
      <c r="C211" s="839"/>
      <c r="D211" s="839"/>
      <c r="E211" s="839"/>
      <c r="F211" s="839"/>
      <c r="G211" s="839"/>
      <c r="H211" s="839"/>
      <c r="I211" s="839"/>
      <c r="J211" s="839"/>
      <c r="K211" s="839"/>
      <c r="L211" s="839"/>
      <c r="M211" s="839"/>
      <c r="N211" s="345"/>
      <c r="O211" s="839"/>
      <c r="P211" s="839"/>
      <c r="Q211" s="839"/>
      <c r="R211" s="839"/>
      <c r="S211" s="839"/>
      <c r="T211" s="839"/>
      <c r="U211" s="839"/>
      <c r="V211" s="839"/>
      <c r="W211" s="839"/>
      <c r="X211" s="839"/>
      <c r="Y211" s="839"/>
      <c r="Z211" s="839"/>
    </row>
    <row r="212" spans="2:26" s="1239" customFormat="1" ht="19.899999999999999" customHeight="1">
      <c r="B212" s="839"/>
      <c r="C212" s="839"/>
      <c r="D212" s="839"/>
      <c r="E212" s="839"/>
      <c r="F212" s="839"/>
      <c r="G212" s="839"/>
      <c r="H212" s="839"/>
      <c r="I212" s="839"/>
      <c r="J212" s="839"/>
      <c r="K212" s="839"/>
      <c r="L212" s="839"/>
      <c r="M212" s="839"/>
      <c r="N212" s="345"/>
      <c r="O212" s="839"/>
      <c r="P212" s="839"/>
      <c r="Q212" s="839"/>
      <c r="R212" s="839"/>
      <c r="S212" s="839"/>
      <c r="T212" s="839"/>
      <c r="U212" s="839"/>
      <c r="V212" s="839"/>
      <c r="W212" s="839"/>
      <c r="X212" s="839"/>
      <c r="Y212" s="839"/>
      <c r="Z212" s="839"/>
    </row>
    <row r="213" spans="2:26" s="1239" customFormat="1" ht="19.899999999999999" customHeight="1">
      <c r="B213" s="839"/>
      <c r="C213" s="839"/>
      <c r="D213" s="839"/>
      <c r="E213" s="839"/>
      <c r="F213" s="839"/>
      <c r="G213" s="839"/>
      <c r="H213" s="839"/>
      <c r="I213" s="839"/>
      <c r="J213" s="839"/>
      <c r="K213" s="839"/>
      <c r="L213" s="839"/>
      <c r="M213" s="839"/>
      <c r="N213" s="345"/>
      <c r="O213" s="839"/>
      <c r="P213" s="839"/>
      <c r="Q213" s="839"/>
      <c r="R213" s="839"/>
      <c r="S213" s="839"/>
      <c r="T213" s="839"/>
      <c r="U213" s="839"/>
      <c r="V213" s="839"/>
      <c r="W213" s="839"/>
      <c r="X213" s="839"/>
      <c r="Y213" s="839"/>
      <c r="Z213" s="839"/>
    </row>
    <row r="214" spans="2:26" s="1239" customFormat="1" ht="19.899999999999999" customHeight="1">
      <c r="B214" s="839"/>
      <c r="C214" s="839"/>
      <c r="D214" s="839"/>
      <c r="E214" s="839"/>
      <c r="F214" s="839"/>
      <c r="G214" s="839"/>
      <c r="H214" s="839"/>
      <c r="I214" s="839"/>
      <c r="J214" s="839"/>
      <c r="K214" s="839"/>
      <c r="L214" s="839"/>
      <c r="M214" s="839"/>
      <c r="N214" s="345"/>
      <c r="O214" s="839"/>
      <c r="P214" s="839"/>
      <c r="Q214" s="839"/>
      <c r="R214" s="839"/>
      <c r="S214" s="839"/>
      <c r="T214" s="839"/>
      <c r="U214" s="839"/>
      <c r="V214" s="839"/>
      <c r="W214" s="839"/>
      <c r="X214" s="839"/>
      <c r="Y214" s="839"/>
      <c r="Z214" s="839"/>
    </row>
    <row r="215" spans="2:26" s="1239" customFormat="1" ht="19.899999999999999" customHeight="1">
      <c r="B215" s="839"/>
      <c r="C215" s="839"/>
      <c r="D215" s="839"/>
      <c r="E215" s="839"/>
      <c r="F215" s="839"/>
      <c r="G215" s="839"/>
      <c r="H215" s="839"/>
      <c r="I215" s="839"/>
      <c r="J215" s="839"/>
      <c r="K215" s="839"/>
      <c r="L215" s="839"/>
      <c r="M215" s="839"/>
      <c r="N215" s="345"/>
      <c r="O215" s="839"/>
      <c r="P215" s="839"/>
      <c r="Q215" s="839"/>
      <c r="R215" s="839"/>
      <c r="S215" s="839"/>
      <c r="T215" s="839"/>
      <c r="U215" s="839"/>
      <c r="V215" s="839"/>
      <c r="W215" s="839"/>
      <c r="X215" s="839"/>
      <c r="Y215" s="839"/>
      <c r="Z215" s="839"/>
    </row>
    <row r="216" spans="2:26" s="1239" customFormat="1" ht="19.899999999999999" customHeight="1">
      <c r="B216" s="839"/>
      <c r="C216" s="839"/>
      <c r="D216" s="839"/>
      <c r="E216" s="839"/>
      <c r="F216" s="839"/>
      <c r="G216" s="839"/>
      <c r="H216" s="839"/>
      <c r="I216" s="839"/>
      <c r="J216" s="839"/>
      <c r="K216" s="839"/>
      <c r="L216" s="839"/>
      <c r="M216" s="839"/>
      <c r="N216" s="345"/>
      <c r="O216" s="839"/>
      <c r="P216" s="839"/>
      <c r="Q216" s="839"/>
      <c r="R216" s="839"/>
      <c r="S216" s="839"/>
      <c r="T216" s="839"/>
      <c r="U216" s="839"/>
      <c r="V216" s="839"/>
      <c r="W216" s="839"/>
      <c r="X216" s="839"/>
      <c r="Y216" s="839"/>
      <c r="Z216" s="839"/>
    </row>
    <row r="217" spans="2:26" s="1239" customFormat="1" ht="19.899999999999999" customHeight="1">
      <c r="B217" s="839"/>
      <c r="C217" s="839"/>
      <c r="D217" s="839"/>
      <c r="E217" s="839"/>
      <c r="F217" s="839"/>
      <c r="G217" s="839"/>
      <c r="H217" s="839"/>
      <c r="I217" s="839"/>
      <c r="J217" s="839"/>
      <c r="K217" s="839"/>
      <c r="L217" s="839"/>
      <c r="M217" s="839"/>
      <c r="N217" s="345"/>
      <c r="O217" s="839"/>
      <c r="P217" s="839"/>
      <c r="Q217" s="839"/>
      <c r="R217" s="839"/>
      <c r="S217" s="839"/>
      <c r="T217" s="839"/>
      <c r="U217" s="839"/>
      <c r="V217" s="839"/>
      <c r="W217" s="839"/>
      <c r="X217" s="839"/>
      <c r="Y217" s="839"/>
      <c r="Z217" s="839"/>
    </row>
    <row r="218" spans="2:26" s="1239" customFormat="1" ht="19.899999999999999" customHeight="1">
      <c r="B218" s="839"/>
      <c r="C218" s="839"/>
      <c r="D218" s="839"/>
      <c r="E218" s="839"/>
      <c r="F218" s="839"/>
      <c r="G218" s="839"/>
      <c r="H218" s="839"/>
      <c r="I218" s="839"/>
      <c r="J218" s="839"/>
      <c r="K218" s="839"/>
      <c r="L218" s="839"/>
      <c r="M218" s="839"/>
      <c r="N218" s="345"/>
      <c r="O218" s="839"/>
      <c r="P218" s="839"/>
      <c r="Q218" s="839"/>
      <c r="R218" s="839"/>
      <c r="S218" s="839"/>
      <c r="T218" s="839"/>
      <c r="U218" s="839"/>
      <c r="V218" s="839"/>
      <c r="W218" s="839"/>
      <c r="X218" s="839"/>
      <c r="Y218" s="839"/>
      <c r="Z218" s="839"/>
    </row>
    <row r="219" spans="2:26" s="1239" customFormat="1" ht="19.899999999999999" customHeight="1">
      <c r="B219" s="839"/>
      <c r="C219" s="839"/>
      <c r="D219" s="839"/>
      <c r="E219" s="839"/>
      <c r="F219" s="839"/>
      <c r="G219" s="839"/>
      <c r="H219" s="839"/>
      <c r="I219" s="839"/>
      <c r="J219" s="839"/>
      <c r="K219" s="839"/>
      <c r="L219" s="839"/>
      <c r="M219" s="839"/>
      <c r="N219" s="345"/>
      <c r="O219" s="839"/>
      <c r="P219" s="839"/>
      <c r="Q219" s="839"/>
      <c r="R219" s="839"/>
      <c r="S219" s="839"/>
      <c r="T219" s="839"/>
      <c r="U219" s="839"/>
      <c r="V219" s="839"/>
      <c r="W219" s="839"/>
      <c r="X219" s="839"/>
      <c r="Y219" s="839"/>
      <c r="Z219" s="839"/>
    </row>
    <row r="220" spans="2:26" s="1239" customFormat="1" ht="19.899999999999999" customHeight="1">
      <c r="B220" s="839"/>
      <c r="C220" s="839"/>
      <c r="D220" s="839"/>
      <c r="E220" s="839"/>
      <c r="F220" s="839"/>
      <c r="G220" s="839"/>
      <c r="H220" s="839"/>
      <c r="I220" s="839"/>
      <c r="J220" s="839"/>
      <c r="K220" s="839"/>
      <c r="L220" s="839"/>
      <c r="M220" s="839"/>
      <c r="N220" s="345"/>
      <c r="O220" s="839"/>
      <c r="P220" s="839"/>
      <c r="Q220" s="839"/>
      <c r="R220" s="839"/>
      <c r="S220" s="839"/>
      <c r="T220" s="839"/>
      <c r="U220" s="839"/>
      <c r="V220" s="839"/>
      <c r="W220" s="839"/>
      <c r="X220" s="839"/>
      <c r="Y220" s="839"/>
      <c r="Z220" s="839"/>
    </row>
    <row r="221" spans="2:26" s="1239" customFormat="1" ht="19.899999999999999" customHeight="1">
      <c r="B221" s="839"/>
      <c r="C221" s="839"/>
      <c r="D221" s="839"/>
      <c r="E221" s="839"/>
      <c r="F221" s="839"/>
      <c r="G221" s="839"/>
      <c r="H221" s="839"/>
      <c r="I221" s="839"/>
      <c r="J221" s="839"/>
      <c r="K221" s="839"/>
      <c r="L221" s="839"/>
      <c r="M221" s="839"/>
      <c r="N221" s="345"/>
      <c r="O221" s="839"/>
      <c r="P221" s="839"/>
      <c r="Q221" s="839"/>
      <c r="R221" s="839"/>
      <c r="S221" s="839"/>
      <c r="T221" s="839"/>
      <c r="U221" s="839"/>
      <c r="V221" s="839"/>
      <c r="W221" s="839"/>
      <c r="X221" s="839"/>
      <c r="Y221" s="839"/>
      <c r="Z221" s="839"/>
    </row>
    <row r="222" spans="2:26" s="1239" customFormat="1" ht="19.899999999999999" customHeight="1">
      <c r="B222" s="839"/>
      <c r="C222" s="839"/>
      <c r="D222" s="839"/>
      <c r="E222" s="839"/>
      <c r="F222" s="839"/>
      <c r="G222" s="839"/>
      <c r="H222" s="839"/>
      <c r="I222" s="839"/>
      <c r="J222" s="839"/>
      <c r="K222" s="839"/>
      <c r="L222" s="839"/>
      <c r="M222" s="839"/>
      <c r="N222" s="345"/>
      <c r="O222" s="839"/>
      <c r="P222" s="839"/>
      <c r="Q222" s="839"/>
      <c r="R222" s="839"/>
      <c r="S222" s="839"/>
      <c r="T222" s="839"/>
      <c r="U222" s="839"/>
      <c r="V222" s="839"/>
      <c r="W222" s="839"/>
      <c r="X222" s="839"/>
      <c r="Y222" s="839"/>
      <c r="Z222" s="839"/>
    </row>
    <row r="223" spans="2:26" s="1239" customFormat="1" ht="19.899999999999999" customHeight="1">
      <c r="B223" s="839"/>
      <c r="C223" s="839"/>
      <c r="D223" s="839"/>
      <c r="E223" s="839"/>
      <c r="F223" s="839"/>
      <c r="G223" s="839"/>
      <c r="H223" s="839"/>
      <c r="I223" s="839"/>
      <c r="J223" s="839"/>
      <c r="K223" s="839"/>
      <c r="L223" s="839"/>
      <c r="M223" s="839"/>
      <c r="N223" s="345"/>
      <c r="O223" s="839"/>
      <c r="P223" s="839"/>
      <c r="Q223" s="839"/>
      <c r="R223" s="839"/>
      <c r="S223" s="839"/>
      <c r="T223" s="839"/>
      <c r="U223" s="839"/>
      <c r="V223" s="839"/>
      <c r="W223" s="839"/>
      <c r="X223" s="839"/>
      <c r="Y223" s="839"/>
      <c r="Z223" s="839"/>
    </row>
    <row r="224" spans="2:26" s="1239" customFormat="1" ht="19.899999999999999" customHeight="1">
      <c r="B224" s="839"/>
      <c r="C224" s="839"/>
      <c r="D224" s="839"/>
      <c r="E224" s="839"/>
      <c r="F224" s="839"/>
      <c r="G224" s="839"/>
      <c r="H224" s="839"/>
      <c r="I224" s="839"/>
      <c r="J224" s="839"/>
      <c r="K224" s="839"/>
      <c r="L224" s="839"/>
      <c r="M224" s="839"/>
      <c r="N224" s="345"/>
      <c r="O224" s="839"/>
      <c r="P224" s="839"/>
      <c r="Q224" s="839"/>
      <c r="R224" s="839"/>
      <c r="S224" s="839"/>
      <c r="T224" s="839"/>
      <c r="U224" s="839"/>
      <c r="V224" s="839"/>
      <c r="W224" s="839"/>
      <c r="X224" s="839"/>
      <c r="Y224" s="839"/>
      <c r="Z224" s="839"/>
    </row>
    <row r="225" spans="2:26" s="1239" customFormat="1" ht="19.899999999999999" customHeight="1">
      <c r="B225" s="839"/>
      <c r="C225" s="839"/>
      <c r="D225" s="839"/>
      <c r="E225" s="839"/>
      <c r="F225" s="839"/>
      <c r="G225" s="839"/>
      <c r="H225" s="839"/>
      <c r="I225" s="839"/>
      <c r="J225" s="839"/>
      <c r="K225" s="839"/>
      <c r="L225" s="839"/>
      <c r="M225" s="839"/>
      <c r="N225" s="345"/>
      <c r="O225" s="839"/>
      <c r="P225" s="839"/>
      <c r="Q225" s="839"/>
      <c r="R225" s="839"/>
      <c r="S225" s="839"/>
      <c r="T225" s="839"/>
      <c r="U225" s="839"/>
      <c r="V225" s="839"/>
      <c r="W225" s="839"/>
      <c r="X225" s="839"/>
      <c r="Y225" s="839"/>
      <c r="Z225" s="839"/>
    </row>
    <row r="226" spans="2:26" s="1239" customFormat="1" ht="19.899999999999999" customHeight="1">
      <c r="B226" s="839"/>
      <c r="C226" s="839"/>
      <c r="D226" s="839"/>
      <c r="E226" s="839"/>
      <c r="F226" s="839"/>
      <c r="G226" s="839"/>
      <c r="H226" s="839"/>
      <c r="I226" s="839"/>
      <c r="J226" s="839"/>
      <c r="K226" s="839"/>
      <c r="L226" s="839"/>
      <c r="M226" s="839"/>
      <c r="N226" s="345"/>
      <c r="O226" s="839"/>
      <c r="P226" s="839"/>
      <c r="Q226" s="839"/>
      <c r="R226" s="839"/>
      <c r="S226" s="839"/>
      <c r="T226" s="839"/>
      <c r="U226" s="839"/>
      <c r="V226" s="839"/>
      <c r="W226" s="839"/>
      <c r="X226" s="839"/>
      <c r="Y226" s="839"/>
      <c r="Z226" s="839"/>
    </row>
    <row r="227" spans="2:26" s="1239" customFormat="1" ht="19.899999999999999" customHeight="1">
      <c r="B227" s="839"/>
      <c r="C227" s="839"/>
      <c r="D227" s="839"/>
      <c r="E227" s="839"/>
      <c r="F227" s="839"/>
      <c r="G227" s="839"/>
      <c r="H227" s="839"/>
      <c r="I227" s="839"/>
      <c r="J227" s="839"/>
      <c r="K227" s="839"/>
      <c r="L227" s="839"/>
      <c r="M227" s="839"/>
      <c r="N227" s="345"/>
      <c r="O227" s="839"/>
      <c r="P227" s="839"/>
      <c r="Q227" s="839"/>
      <c r="R227" s="839"/>
      <c r="S227" s="839"/>
      <c r="T227" s="839"/>
      <c r="U227" s="839"/>
      <c r="V227" s="839"/>
      <c r="W227" s="839"/>
      <c r="X227" s="839"/>
      <c r="Y227" s="839"/>
      <c r="Z227" s="839"/>
    </row>
    <row r="228" spans="2:26" s="1239" customFormat="1" ht="19.899999999999999" customHeight="1">
      <c r="B228" s="839"/>
      <c r="C228" s="839"/>
      <c r="D228" s="839"/>
      <c r="E228" s="839"/>
      <c r="F228" s="839"/>
      <c r="G228" s="839"/>
      <c r="H228" s="839"/>
      <c r="I228" s="839"/>
      <c r="J228" s="839"/>
      <c r="K228" s="839"/>
      <c r="L228" s="839"/>
      <c r="M228" s="839"/>
      <c r="N228" s="345"/>
      <c r="O228" s="839"/>
      <c r="P228" s="839"/>
      <c r="Q228" s="839"/>
      <c r="R228" s="839"/>
      <c r="S228" s="839"/>
      <c r="T228" s="839"/>
      <c r="U228" s="839"/>
      <c r="V228" s="839"/>
      <c r="W228" s="839"/>
      <c r="X228" s="839"/>
      <c r="Y228" s="839"/>
      <c r="Z228" s="839"/>
    </row>
    <row r="229" spans="2:26" s="1239" customFormat="1" ht="19.899999999999999" customHeight="1">
      <c r="B229" s="839"/>
      <c r="C229" s="839"/>
      <c r="D229" s="839"/>
      <c r="E229" s="839"/>
      <c r="F229" s="839"/>
      <c r="G229" s="839"/>
      <c r="H229" s="839"/>
      <c r="I229" s="839"/>
      <c r="J229" s="839"/>
      <c r="K229" s="839"/>
      <c r="L229" s="839"/>
      <c r="M229" s="839"/>
      <c r="N229" s="345"/>
      <c r="O229" s="839"/>
      <c r="P229" s="839"/>
      <c r="Q229" s="839"/>
      <c r="R229" s="839"/>
      <c r="S229" s="839"/>
      <c r="T229" s="839"/>
      <c r="U229" s="839"/>
      <c r="V229" s="839"/>
      <c r="W229" s="839"/>
      <c r="X229" s="839"/>
      <c r="Y229" s="839"/>
      <c r="Z229" s="839"/>
    </row>
    <row r="230" spans="2:26" s="1239" customFormat="1" ht="19.899999999999999" customHeight="1">
      <c r="B230" s="839"/>
      <c r="C230" s="839"/>
      <c r="D230" s="839"/>
      <c r="E230" s="839"/>
      <c r="F230" s="839"/>
      <c r="G230" s="839"/>
      <c r="H230" s="839"/>
      <c r="I230" s="839"/>
      <c r="J230" s="839"/>
      <c r="K230" s="839"/>
      <c r="L230" s="839"/>
      <c r="M230" s="839"/>
      <c r="N230" s="345"/>
      <c r="O230" s="839"/>
      <c r="P230" s="839"/>
      <c r="Q230" s="839"/>
      <c r="R230" s="839"/>
      <c r="S230" s="839"/>
      <c r="T230" s="839"/>
      <c r="U230" s="839"/>
      <c r="V230" s="839"/>
      <c r="W230" s="839"/>
      <c r="X230" s="839"/>
      <c r="Y230" s="839"/>
      <c r="Z230" s="839"/>
    </row>
    <row r="231" spans="2:26" s="1239" customFormat="1" ht="19.899999999999999" customHeight="1">
      <c r="B231" s="839"/>
      <c r="C231" s="839"/>
      <c r="D231" s="839"/>
      <c r="E231" s="839"/>
      <c r="F231" s="839"/>
      <c r="G231" s="839"/>
      <c r="H231" s="839"/>
      <c r="I231" s="839"/>
      <c r="J231" s="839"/>
      <c r="K231" s="839"/>
      <c r="L231" s="839"/>
      <c r="M231" s="839"/>
      <c r="N231" s="345"/>
      <c r="O231" s="839"/>
      <c r="P231" s="839"/>
      <c r="Q231" s="839"/>
      <c r="R231" s="839"/>
      <c r="S231" s="839"/>
      <c r="T231" s="839"/>
      <c r="U231" s="839"/>
      <c r="V231" s="839"/>
      <c r="W231" s="839"/>
      <c r="X231" s="839"/>
      <c r="Y231" s="839"/>
      <c r="Z231" s="839"/>
    </row>
    <row r="232" spans="2:26" s="1239" customFormat="1" ht="19.899999999999999" customHeight="1">
      <c r="B232" s="839"/>
      <c r="C232" s="839"/>
      <c r="D232" s="839"/>
      <c r="E232" s="839"/>
      <c r="F232" s="839"/>
      <c r="G232" s="839"/>
      <c r="H232" s="839"/>
      <c r="I232" s="839"/>
      <c r="J232" s="839"/>
      <c r="K232" s="839"/>
      <c r="L232" s="839"/>
      <c r="M232" s="839"/>
      <c r="N232" s="345"/>
      <c r="O232" s="839"/>
      <c r="P232" s="839"/>
      <c r="Q232" s="839"/>
      <c r="R232" s="839"/>
      <c r="S232" s="839"/>
      <c r="T232" s="839"/>
      <c r="U232" s="839"/>
      <c r="V232" s="839"/>
      <c r="W232" s="839"/>
      <c r="X232" s="839"/>
      <c r="Y232" s="839"/>
      <c r="Z232" s="839"/>
    </row>
    <row r="233" spans="2:26" s="1239" customFormat="1" ht="19.899999999999999" customHeight="1">
      <c r="B233" s="839"/>
      <c r="C233" s="839"/>
      <c r="D233" s="839"/>
      <c r="E233" s="839"/>
      <c r="F233" s="839"/>
      <c r="G233" s="839"/>
      <c r="H233" s="839"/>
      <c r="I233" s="839"/>
      <c r="J233" s="839"/>
      <c r="K233" s="839"/>
      <c r="L233" s="839"/>
      <c r="M233" s="839"/>
      <c r="N233" s="345"/>
      <c r="O233" s="839"/>
      <c r="P233" s="839"/>
      <c r="Q233" s="839"/>
      <c r="R233" s="839"/>
      <c r="S233" s="839"/>
      <c r="T233" s="839"/>
      <c r="U233" s="839"/>
      <c r="V233" s="839"/>
      <c r="W233" s="839"/>
      <c r="X233" s="839"/>
      <c r="Y233" s="839"/>
      <c r="Z233" s="839"/>
    </row>
    <row r="234" spans="2:26" s="1239" customFormat="1" ht="19.899999999999999" customHeight="1">
      <c r="B234" s="839"/>
      <c r="C234" s="839"/>
      <c r="D234" s="839"/>
      <c r="E234" s="839"/>
      <c r="F234" s="839"/>
      <c r="G234" s="839"/>
      <c r="H234" s="839"/>
      <c r="I234" s="839"/>
      <c r="J234" s="839"/>
      <c r="K234" s="839"/>
      <c r="L234" s="839"/>
      <c r="M234" s="839"/>
      <c r="N234" s="345"/>
      <c r="O234" s="839"/>
      <c r="P234" s="839"/>
      <c r="Q234" s="839"/>
      <c r="R234" s="839"/>
      <c r="S234" s="839"/>
      <c r="T234" s="839"/>
      <c r="U234" s="839"/>
      <c r="V234" s="839"/>
      <c r="W234" s="839"/>
      <c r="X234" s="839"/>
      <c r="Y234" s="839"/>
      <c r="Z234" s="839"/>
    </row>
    <row r="235" spans="2:26" s="1239" customFormat="1" ht="19.899999999999999" customHeight="1">
      <c r="B235" s="839"/>
      <c r="C235" s="839"/>
      <c r="D235" s="839"/>
      <c r="E235" s="839"/>
      <c r="F235" s="839"/>
      <c r="G235" s="839"/>
      <c r="H235" s="839"/>
      <c r="I235" s="839"/>
      <c r="J235" s="839"/>
      <c r="K235" s="839"/>
      <c r="L235" s="839"/>
      <c r="M235" s="839"/>
      <c r="N235" s="345"/>
      <c r="O235" s="839"/>
      <c r="P235" s="839"/>
      <c r="Q235" s="839"/>
      <c r="R235" s="839"/>
      <c r="S235" s="839"/>
      <c r="T235" s="839"/>
      <c r="U235" s="839"/>
      <c r="V235" s="839"/>
      <c r="W235" s="839"/>
      <c r="X235" s="839"/>
      <c r="Y235" s="839"/>
      <c r="Z235" s="839"/>
    </row>
    <row r="236" spans="2:26" s="1239" customFormat="1" ht="19.899999999999999" customHeight="1">
      <c r="B236" s="839"/>
      <c r="C236" s="839"/>
      <c r="D236" s="839"/>
      <c r="E236" s="839"/>
      <c r="F236" s="839"/>
      <c r="G236" s="839"/>
      <c r="H236" s="839"/>
      <c r="I236" s="839"/>
      <c r="J236" s="839"/>
      <c r="K236" s="839"/>
      <c r="L236" s="839"/>
      <c r="M236" s="839"/>
      <c r="N236" s="345"/>
      <c r="O236" s="839"/>
      <c r="P236" s="839"/>
      <c r="Q236" s="839"/>
      <c r="R236" s="839"/>
      <c r="S236" s="839"/>
      <c r="T236" s="839"/>
      <c r="U236" s="839"/>
      <c r="V236" s="839"/>
      <c r="W236" s="839"/>
      <c r="X236" s="839"/>
      <c r="Y236" s="839"/>
      <c r="Z236" s="839"/>
    </row>
    <row r="237" spans="2:26" s="1239" customFormat="1" ht="19.899999999999999" customHeight="1">
      <c r="B237" s="839"/>
      <c r="C237" s="839"/>
      <c r="D237" s="839"/>
      <c r="E237" s="839"/>
      <c r="F237" s="839"/>
      <c r="G237" s="839"/>
      <c r="H237" s="839"/>
      <c r="I237" s="839"/>
      <c r="J237" s="839"/>
      <c r="K237" s="839"/>
      <c r="L237" s="839"/>
      <c r="M237" s="839"/>
      <c r="N237" s="345"/>
      <c r="O237" s="839"/>
      <c r="P237" s="839"/>
      <c r="Q237" s="839"/>
      <c r="R237" s="839"/>
      <c r="S237" s="839"/>
      <c r="T237" s="839"/>
      <c r="U237" s="839"/>
      <c r="V237" s="839"/>
      <c r="W237" s="839"/>
      <c r="X237" s="839"/>
      <c r="Y237" s="839"/>
      <c r="Z237" s="839"/>
    </row>
    <row r="238" spans="2:26" s="1239" customFormat="1" ht="19.899999999999999" customHeight="1">
      <c r="B238" s="839"/>
      <c r="C238" s="839"/>
      <c r="D238" s="839"/>
      <c r="E238" s="839"/>
      <c r="F238" s="839"/>
      <c r="G238" s="839"/>
      <c r="H238" s="839"/>
      <c r="I238" s="839"/>
      <c r="J238" s="839"/>
      <c r="K238" s="839"/>
      <c r="L238" s="839"/>
      <c r="M238" s="839"/>
      <c r="N238" s="345"/>
      <c r="O238" s="839"/>
      <c r="P238" s="839"/>
      <c r="Q238" s="839"/>
      <c r="R238" s="839"/>
      <c r="S238" s="839"/>
      <c r="T238" s="839"/>
      <c r="U238" s="839"/>
      <c r="V238" s="839"/>
      <c r="W238" s="839"/>
      <c r="X238" s="839"/>
      <c r="Y238" s="839"/>
      <c r="Z238" s="839"/>
    </row>
    <row r="239" spans="2:26" s="1239" customFormat="1" ht="19.899999999999999" customHeight="1">
      <c r="B239" s="839"/>
      <c r="C239" s="839"/>
      <c r="D239" s="839"/>
      <c r="E239" s="839"/>
      <c r="F239" s="839"/>
      <c r="G239" s="839"/>
      <c r="H239" s="839"/>
      <c r="I239" s="839"/>
      <c r="J239" s="839"/>
      <c r="K239" s="839"/>
      <c r="L239" s="839"/>
      <c r="M239" s="839"/>
      <c r="N239" s="345"/>
      <c r="O239" s="839"/>
      <c r="P239" s="839"/>
      <c r="Q239" s="839"/>
      <c r="R239" s="839"/>
      <c r="S239" s="839"/>
      <c r="T239" s="839"/>
      <c r="U239" s="839"/>
      <c r="V239" s="839"/>
      <c r="W239" s="839"/>
      <c r="X239" s="839"/>
      <c r="Y239" s="839"/>
      <c r="Z239" s="839"/>
    </row>
    <row r="240" spans="2:26" s="1239" customFormat="1" ht="19.899999999999999" customHeight="1">
      <c r="B240" s="839"/>
      <c r="C240" s="839"/>
      <c r="D240" s="839"/>
      <c r="E240" s="839"/>
      <c r="F240" s="839"/>
      <c r="G240" s="839"/>
      <c r="H240" s="839"/>
      <c r="I240" s="839"/>
      <c r="J240" s="839"/>
      <c r="K240" s="839"/>
      <c r="L240" s="839"/>
      <c r="M240" s="839"/>
      <c r="N240" s="345"/>
      <c r="O240" s="839"/>
      <c r="P240" s="839"/>
      <c r="Q240" s="839"/>
      <c r="R240" s="839"/>
      <c r="S240" s="839"/>
      <c r="T240" s="839"/>
      <c r="U240" s="839"/>
      <c r="V240" s="839"/>
      <c r="W240" s="839"/>
      <c r="X240" s="839"/>
      <c r="Y240" s="839"/>
      <c r="Z240" s="839"/>
    </row>
    <row r="241" spans="2:26" s="1239" customFormat="1" ht="19.899999999999999" customHeight="1">
      <c r="B241" s="839"/>
      <c r="C241" s="839"/>
      <c r="D241" s="839"/>
      <c r="E241" s="839"/>
      <c r="F241" s="839"/>
      <c r="G241" s="839"/>
      <c r="H241" s="839"/>
      <c r="I241" s="839"/>
      <c r="J241" s="839"/>
      <c r="K241" s="839"/>
      <c r="L241" s="839"/>
      <c r="M241" s="839"/>
      <c r="N241" s="345"/>
      <c r="O241" s="839"/>
      <c r="P241" s="839"/>
      <c r="Q241" s="839"/>
      <c r="R241" s="839"/>
      <c r="S241" s="839"/>
      <c r="T241" s="839"/>
      <c r="U241" s="839"/>
      <c r="V241" s="839"/>
      <c r="W241" s="839"/>
      <c r="X241" s="839"/>
      <c r="Y241" s="839"/>
      <c r="Z241" s="839"/>
    </row>
    <row r="242" spans="2:26" s="1239" customFormat="1" ht="19.899999999999999" customHeight="1">
      <c r="B242" s="839"/>
      <c r="C242" s="839"/>
      <c r="D242" s="839"/>
      <c r="E242" s="839"/>
      <c r="F242" s="839"/>
      <c r="G242" s="839"/>
      <c r="H242" s="839"/>
      <c r="I242" s="839"/>
      <c r="J242" s="839"/>
      <c r="K242" s="839"/>
      <c r="L242" s="839"/>
      <c r="M242" s="839"/>
      <c r="N242" s="345"/>
      <c r="O242" s="839"/>
      <c r="P242" s="839"/>
      <c r="Q242" s="839"/>
      <c r="R242" s="839"/>
      <c r="S242" s="839"/>
      <c r="T242" s="839"/>
      <c r="U242" s="839"/>
      <c r="V242" s="839"/>
      <c r="W242" s="839"/>
      <c r="X242" s="839"/>
      <c r="Y242" s="839"/>
      <c r="Z242" s="839"/>
    </row>
    <row r="243" spans="2:26" s="1239" customFormat="1" ht="19.899999999999999" customHeight="1">
      <c r="B243" s="839"/>
      <c r="C243" s="839"/>
      <c r="D243" s="839"/>
      <c r="E243" s="839"/>
      <c r="F243" s="839"/>
      <c r="G243" s="839"/>
      <c r="H243" s="839"/>
      <c r="I243" s="839"/>
      <c r="J243" s="839"/>
      <c r="K243" s="839"/>
      <c r="L243" s="839"/>
      <c r="M243" s="839"/>
      <c r="N243" s="345"/>
      <c r="O243" s="839"/>
      <c r="P243" s="839"/>
      <c r="Q243" s="839"/>
      <c r="R243" s="839"/>
      <c r="S243" s="839"/>
      <c r="T243" s="839"/>
      <c r="U243" s="839"/>
      <c r="V243" s="839"/>
      <c r="W243" s="839"/>
      <c r="X243" s="839"/>
      <c r="Y243" s="839"/>
      <c r="Z243" s="839"/>
    </row>
    <row r="244" spans="2:26" s="1239" customFormat="1" ht="19.899999999999999" customHeight="1">
      <c r="B244" s="839"/>
      <c r="C244" s="839"/>
      <c r="D244" s="839"/>
      <c r="E244" s="839"/>
      <c r="F244" s="839"/>
      <c r="G244" s="839"/>
      <c r="H244" s="839"/>
      <c r="I244" s="839"/>
      <c r="J244" s="839"/>
      <c r="K244" s="839"/>
      <c r="L244" s="839"/>
      <c r="M244" s="839"/>
      <c r="N244" s="345"/>
      <c r="O244" s="839"/>
      <c r="P244" s="839"/>
      <c r="Q244" s="839"/>
      <c r="R244" s="839"/>
      <c r="S244" s="839"/>
      <c r="T244" s="839"/>
      <c r="U244" s="839"/>
      <c r="V244" s="839"/>
      <c r="W244" s="839"/>
      <c r="X244" s="839"/>
      <c r="Y244" s="839"/>
      <c r="Z244" s="839"/>
    </row>
    <row r="245" spans="2:26" s="1239" customFormat="1" ht="19.899999999999999" customHeight="1">
      <c r="B245" s="839"/>
      <c r="C245" s="839"/>
      <c r="D245" s="839"/>
      <c r="E245" s="839"/>
      <c r="F245" s="839"/>
      <c r="G245" s="839"/>
      <c r="H245" s="839"/>
      <c r="I245" s="839"/>
      <c r="J245" s="839"/>
      <c r="K245" s="839"/>
      <c r="L245" s="839"/>
      <c r="M245" s="839"/>
      <c r="N245" s="345"/>
      <c r="O245" s="839"/>
      <c r="P245" s="839"/>
      <c r="Q245" s="839"/>
      <c r="R245" s="839"/>
      <c r="S245" s="839"/>
      <c r="T245" s="839"/>
      <c r="U245" s="839"/>
      <c r="V245" s="839"/>
      <c r="W245" s="839"/>
      <c r="X245" s="839"/>
      <c r="Y245" s="839"/>
      <c r="Z245" s="839"/>
    </row>
    <row r="246" spans="2:26" s="1239" customFormat="1" ht="19.899999999999999" customHeight="1">
      <c r="B246" s="839"/>
      <c r="C246" s="839"/>
      <c r="D246" s="839"/>
      <c r="E246" s="839"/>
      <c r="F246" s="839"/>
      <c r="G246" s="839"/>
      <c r="H246" s="839"/>
      <c r="I246" s="839"/>
      <c r="J246" s="839"/>
      <c r="K246" s="839"/>
      <c r="L246" s="839"/>
      <c r="M246" s="839"/>
      <c r="N246" s="345"/>
      <c r="O246" s="839"/>
      <c r="P246" s="839"/>
      <c r="Q246" s="839"/>
      <c r="R246" s="839"/>
      <c r="S246" s="839"/>
      <c r="T246" s="839"/>
      <c r="U246" s="839"/>
      <c r="V246" s="839"/>
      <c r="W246" s="839"/>
      <c r="X246" s="839"/>
      <c r="Y246" s="839"/>
      <c r="Z246" s="839"/>
    </row>
    <row r="247" spans="2:26" s="1239" customFormat="1" ht="19.899999999999999" customHeight="1">
      <c r="B247" s="839"/>
      <c r="C247" s="839"/>
      <c r="D247" s="839"/>
      <c r="E247" s="839"/>
      <c r="F247" s="839"/>
      <c r="G247" s="839"/>
      <c r="H247" s="839"/>
      <c r="I247" s="839"/>
      <c r="J247" s="839"/>
      <c r="K247" s="839"/>
      <c r="L247" s="839"/>
      <c r="M247" s="839"/>
      <c r="N247" s="345"/>
      <c r="O247" s="839"/>
      <c r="P247" s="839"/>
      <c r="Q247" s="839"/>
      <c r="R247" s="839"/>
      <c r="S247" s="839"/>
      <c r="T247" s="839"/>
      <c r="U247" s="839"/>
      <c r="V247" s="839"/>
      <c r="W247" s="839"/>
      <c r="X247" s="839"/>
      <c r="Y247" s="839"/>
      <c r="Z247" s="839"/>
    </row>
    <row r="248" spans="2:26" s="1239" customFormat="1" ht="19.899999999999999" customHeight="1">
      <c r="B248" s="839"/>
      <c r="C248" s="839"/>
      <c r="D248" s="839"/>
      <c r="E248" s="839"/>
      <c r="F248" s="839"/>
      <c r="G248" s="839"/>
      <c r="H248" s="839"/>
      <c r="I248" s="839"/>
      <c r="J248" s="839"/>
      <c r="K248" s="839"/>
      <c r="L248" s="839"/>
      <c r="M248" s="839"/>
      <c r="N248" s="345"/>
      <c r="O248" s="839"/>
      <c r="P248" s="839"/>
      <c r="Q248" s="839"/>
      <c r="R248" s="839"/>
      <c r="S248" s="839"/>
      <c r="T248" s="839"/>
      <c r="U248" s="839"/>
      <c r="V248" s="839"/>
      <c r="W248" s="839"/>
      <c r="X248" s="839"/>
      <c r="Y248" s="839"/>
      <c r="Z248" s="839"/>
    </row>
    <row r="249" spans="2:26" s="1239" customFormat="1" ht="19.899999999999999" customHeight="1">
      <c r="B249" s="839"/>
      <c r="C249" s="839"/>
      <c r="D249" s="839"/>
      <c r="E249" s="839"/>
      <c r="F249" s="839"/>
      <c r="G249" s="839"/>
      <c r="H249" s="839"/>
      <c r="I249" s="839"/>
      <c r="J249" s="839"/>
      <c r="K249" s="839"/>
      <c r="L249" s="839"/>
      <c r="M249" s="839"/>
      <c r="N249" s="345"/>
      <c r="O249" s="839"/>
      <c r="P249" s="839"/>
      <c r="Q249" s="839"/>
      <c r="R249" s="839"/>
      <c r="S249" s="839"/>
      <c r="T249" s="839"/>
      <c r="U249" s="839"/>
      <c r="V249" s="839"/>
      <c r="W249" s="839"/>
      <c r="X249" s="839"/>
      <c r="Y249" s="839"/>
      <c r="Z249" s="839"/>
    </row>
    <row r="250" spans="2:26" s="1239" customFormat="1" ht="19.899999999999999" customHeight="1">
      <c r="B250" s="839"/>
      <c r="C250" s="839"/>
      <c r="D250" s="839"/>
      <c r="E250" s="839"/>
      <c r="F250" s="839"/>
      <c r="G250" s="839"/>
      <c r="H250" s="839"/>
      <c r="I250" s="839"/>
      <c r="J250" s="839"/>
      <c r="K250" s="839"/>
      <c r="L250" s="839"/>
      <c r="M250" s="839"/>
      <c r="N250" s="345"/>
      <c r="O250" s="839"/>
      <c r="P250" s="839"/>
      <c r="Q250" s="839"/>
      <c r="R250" s="839"/>
      <c r="S250" s="839"/>
      <c r="T250" s="839"/>
      <c r="U250" s="839"/>
      <c r="V250" s="839"/>
      <c r="W250" s="839"/>
      <c r="X250" s="839"/>
      <c r="Y250" s="839"/>
      <c r="Z250" s="839"/>
    </row>
    <row r="251" spans="2:26" s="1239" customFormat="1" ht="19.899999999999999" customHeight="1">
      <c r="B251" s="839"/>
      <c r="C251" s="839"/>
      <c r="D251" s="839"/>
      <c r="E251" s="839"/>
      <c r="F251" s="839"/>
      <c r="G251" s="839"/>
      <c r="H251" s="839"/>
      <c r="I251" s="839"/>
      <c r="J251" s="839"/>
      <c r="K251" s="839"/>
      <c r="L251" s="839"/>
      <c r="M251" s="839"/>
      <c r="N251" s="345"/>
      <c r="O251" s="839"/>
      <c r="P251" s="839"/>
      <c r="Q251" s="839"/>
      <c r="R251" s="839"/>
      <c r="S251" s="839"/>
      <c r="T251" s="839"/>
      <c r="U251" s="839"/>
      <c r="V251" s="839"/>
      <c r="W251" s="839"/>
      <c r="X251" s="839"/>
      <c r="Y251" s="839"/>
      <c r="Z251" s="839"/>
    </row>
    <row r="252" spans="2:26" s="1239" customFormat="1" ht="19.899999999999999" customHeight="1">
      <c r="B252" s="839"/>
      <c r="C252" s="839"/>
      <c r="D252" s="839"/>
      <c r="E252" s="839"/>
      <c r="F252" s="839"/>
      <c r="G252" s="839"/>
      <c r="H252" s="839"/>
      <c r="I252" s="839"/>
      <c r="J252" s="839"/>
      <c r="K252" s="839"/>
      <c r="L252" s="839"/>
      <c r="M252" s="839"/>
      <c r="N252" s="345"/>
      <c r="O252" s="839"/>
      <c r="P252" s="839"/>
      <c r="Q252" s="839"/>
      <c r="R252" s="839"/>
      <c r="S252" s="839"/>
      <c r="T252" s="839"/>
      <c r="U252" s="839"/>
      <c r="V252" s="839"/>
      <c r="W252" s="839"/>
      <c r="X252" s="839"/>
      <c r="Y252" s="839"/>
      <c r="Z252" s="839"/>
    </row>
    <row r="253" spans="2:26" s="1239" customFormat="1" ht="19.899999999999999" customHeight="1">
      <c r="B253" s="839"/>
      <c r="C253" s="839"/>
      <c r="D253" s="839"/>
      <c r="E253" s="839"/>
      <c r="F253" s="839"/>
      <c r="G253" s="839"/>
      <c r="H253" s="839"/>
      <c r="I253" s="839"/>
      <c r="J253" s="839"/>
      <c r="K253" s="839"/>
      <c r="L253" s="839"/>
      <c r="M253" s="839"/>
      <c r="N253" s="345"/>
      <c r="O253" s="839"/>
      <c r="P253" s="839"/>
      <c r="Q253" s="839"/>
      <c r="R253" s="839"/>
      <c r="S253" s="839"/>
      <c r="T253" s="839"/>
      <c r="U253" s="839"/>
      <c r="V253" s="839"/>
      <c r="W253" s="839"/>
      <c r="X253" s="839"/>
      <c r="Y253" s="839"/>
      <c r="Z253" s="839"/>
    </row>
    <row r="254" spans="2:26" s="1239" customFormat="1" ht="19.899999999999999" customHeight="1">
      <c r="B254" s="839"/>
      <c r="C254" s="839"/>
      <c r="D254" s="839"/>
      <c r="E254" s="839"/>
      <c r="F254" s="839"/>
      <c r="G254" s="839"/>
      <c r="H254" s="839"/>
      <c r="I254" s="839"/>
      <c r="J254" s="839"/>
      <c r="K254" s="839"/>
      <c r="L254" s="839"/>
      <c r="M254" s="839"/>
      <c r="N254" s="345"/>
      <c r="O254" s="839"/>
      <c r="P254" s="839"/>
      <c r="Q254" s="839"/>
      <c r="R254" s="839"/>
      <c r="S254" s="839"/>
      <c r="T254" s="839"/>
      <c r="U254" s="839"/>
      <c r="V254" s="839"/>
      <c r="W254" s="839"/>
      <c r="X254" s="839"/>
      <c r="Y254" s="839"/>
      <c r="Z254" s="839"/>
    </row>
    <row r="255" spans="2:26" s="1239" customFormat="1" ht="19.899999999999999" customHeight="1">
      <c r="B255" s="839"/>
      <c r="C255" s="839"/>
      <c r="D255" s="839"/>
      <c r="E255" s="839"/>
      <c r="F255" s="839"/>
      <c r="G255" s="839"/>
      <c r="H255" s="839"/>
      <c r="I255" s="839"/>
      <c r="J255" s="839"/>
      <c r="K255" s="839"/>
      <c r="L255" s="839"/>
      <c r="M255" s="839"/>
      <c r="N255" s="345"/>
      <c r="O255" s="839"/>
      <c r="P255" s="839"/>
      <c r="Q255" s="839"/>
      <c r="R255" s="839"/>
      <c r="S255" s="839"/>
      <c r="T255" s="839"/>
      <c r="U255" s="839"/>
      <c r="V255" s="839"/>
      <c r="W255" s="839"/>
      <c r="X255" s="839"/>
      <c r="Y255" s="839"/>
      <c r="Z255" s="839"/>
    </row>
    <row r="256" spans="2:26" s="1239" customFormat="1" ht="19.899999999999999" customHeight="1">
      <c r="B256" s="839"/>
      <c r="C256" s="839"/>
      <c r="D256" s="839"/>
      <c r="E256" s="839"/>
      <c r="F256" s="839"/>
      <c r="G256" s="839"/>
      <c r="H256" s="839"/>
      <c r="I256" s="839"/>
      <c r="J256" s="839"/>
      <c r="K256" s="839"/>
      <c r="L256" s="839"/>
      <c r="M256" s="839"/>
      <c r="N256" s="345"/>
      <c r="O256" s="839"/>
      <c r="P256" s="839"/>
      <c r="Q256" s="839"/>
      <c r="R256" s="839"/>
      <c r="S256" s="839"/>
      <c r="T256" s="839"/>
      <c r="U256" s="839"/>
      <c r="V256" s="839"/>
      <c r="W256" s="839"/>
      <c r="X256" s="839"/>
      <c r="Y256" s="839"/>
      <c r="Z256" s="839"/>
    </row>
    <row r="257" spans="2:26" s="1239" customFormat="1" ht="19.899999999999999" customHeight="1">
      <c r="B257" s="839"/>
      <c r="C257" s="839"/>
      <c r="D257" s="839"/>
      <c r="E257" s="839"/>
      <c r="F257" s="839"/>
      <c r="G257" s="839"/>
      <c r="H257" s="839"/>
      <c r="I257" s="839"/>
      <c r="J257" s="839"/>
      <c r="K257" s="839"/>
      <c r="L257" s="839"/>
      <c r="M257" s="839"/>
      <c r="N257" s="345"/>
      <c r="O257" s="839"/>
      <c r="P257" s="839"/>
      <c r="Q257" s="839"/>
      <c r="R257" s="839"/>
      <c r="S257" s="839"/>
      <c r="T257" s="839"/>
      <c r="U257" s="839"/>
      <c r="V257" s="839"/>
      <c r="W257" s="839"/>
      <c r="X257" s="839"/>
      <c r="Y257" s="839"/>
      <c r="Z257" s="839"/>
    </row>
    <row r="258" spans="2:26" s="1239" customFormat="1" ht="19.899999999999999" customHeight="1">
      <c r="B258" s="839"/>
      <c r="C258" s="839"/>
      <c r="D258" s="839"/>
      <c r="E258" s="839"/>
      <c r="F258" s="839"/>
      <c r="G258" s="839"/>
      <c r="H258" s="839"/>
      <c r="I258" s="839"/>
      <c r="J258" s="839"/>
      <c r="K258" s="839"/>
      <c r="L258" s="839"/>
      <c r="M258" s="839"/>
      <c r="N258" s="345"/>
      <c r="O258" s="839"/>
      <c r="P258" s="839"/>
      <c r="Q258" s="839"/>
      <c r="R258" s="839"/>
      <c r="S258" s="839"/>
      <c r="T258" s="839"/>
      <c r="U258" s="839"/>
      <c r="V258" s="839"/>
      <c r="W258" s="839"/>
      <c r="X258" s="839"/>
      <c r="Y258" s="839"/>
      <c r="Z258" s="839"/>
    </row>
    <row r="259" spans="2:26" s="1239" customFormat="1" ht="19.899999999999999" customHeight="1">
      <c r="B259" s="839"/>
      <c r="C259" s="839"/>
      <c r="D259" s="839"/>
      <c r="E259" s="839"/>
      <c r="F259" s="839"/>
      <c r="G259" s="839"/>
      <c r="H259" s="839"/>
      <c r="I259" s="839"/>
      <c r="J259" s="839"/>
      <c r="K259" s="839"/>
      <c r="L259" s="839"/>
      <c r="M259" s="839"/>
      <c r="N259" s="345"/>
      <c r="O259" s="839"/>
      <c r="P259" s="839"/>
      <c r="Q259" s="839"/>
      <c r="R259" s="839"/>
      <c r="S259" s="839"/>
      <c r="T259" s="839"/>
      <c r="U259" s="839"/>
      <c r="V259" s="839"/>
      <c r="W259" s="839"/>
      <c r="X259" s="839"/>
      <c r="Y259" s="839"/>
      <c r="Z259" s="839"/>
    </row>
    <row r="260" spans="2:26" s="1239" customFormat="1" ht="19.899999999999999" customHeight="1">
      <c r="B260" s="839"/>
      <c r="C260" s="839"/>
      <c r="D260" s="839"/>
      <c r="E260" s="839"/>
      <c r="F260" s="839"/>
      <c r="G260" s="839"/>
      <c r="H260" s="839"/>
      <c r="I260" s="839"/>
      <c r="J260" s="839"/>
      <c r="K260" s="839"/>
      <c r="L260" s="839"/>
      <c r="M260" s="839"/>
      <c r="N260" s="345"/>
      <c r="O260" s="839"/>
      <c r="P260" s="839"/>
      <c r="Q260" s="839"/>
      <c r="R260" s="839">
        <f>SUM(R249:R259)</f>
        <v>0</v>
      </c>
      <c r="S260" s="839"/>
      <c r="T260" s="839"/>
      <c r="U260" s="839"/>
      <c r="V260" s="839"/>
      <c r="W260" s="839"/>
      <c r="X260" s="839"/>
      <c r="Y260" s="839"/>
      <c r="Z260" s="839"/>
    </row>
    <row r="261" spans="2:26" s="1239" customFormat="1" ht="19.899999999999999" customHeight="1">
      <c r="B261" s="839"/>
      <c r="C261" s="839"/>
      <c r="D261" s="839"/>
      <c r="E261" s="839"/>
      <c r="F261" s="839"/>
      <c r="G261" s="839"/>
      <c r="H261" s="839"/>
      <c r="I261" s="839"/>
      <c r="J261" s="839"/>
      <c r="K261" s="839"/>
      <c r="L261" s="839"/>
      <c r="M261" s="839"/>
      <c r="N261" s="345"/>
      <c r="O261" s="839"/>
      <c r="P261" s="839"/>
      <c r="Q261" s="839"/>
      <c r="R261" s="839"/>
      <c r="S261" s="839"/>
      <c r="T261" s="839"/>
      <c r="U261" s="839"/>
      <c r="V261" s="839"/>
      <c r="W261" s="839"/>
      <c r="X261" s="839"/>
      <c r="Y261" s="839"/>
      <c r="Z261" s="839"/>
    </row>
    <row r="262" spans="2:26" s="1239" customFormat="1" ht="19.899999999999999" customHeight="1">
      <c r="B262" s="839"/>
      <c r="C262" s="839"/>
      <c r="D262" s="839"/>
      <c r="E262" s="839"/>
      <c r="F262" s="839"/>
      <c r="G262" s="839"/>
      <c r="H262" s="839"/>
      <c r="I262" s="839"/>
      <c r="J262" s="839"/>
      <c r="K262" s="839"/>
      <c r="L262" s="839"/>
      <c r="M262" s="839"/>
      <c r="N262" s="345"/>
      <c r="O262" s="839"/>
      <c r="P262" s="839"/>
      <c r="Q262" s="839"/>
      <c r="R262" s="839"/>
      <c r="S262" s="839"/>
      <c r="T262" s="839"/>
      <c r="U262" s="839"/>
      <c r="V262" s="839"/>
      <c r="W262" s="839"/>
      <c r="X262" s="839"/>
      <c r="Y262" s="839"/>
      <c r="Z262" s="839"/>
    </row>
    <row r="263" spans="2:26" s="1239" customFormat="1" ht="19.899999999999999" customHeight="1">
      <c r="B263" s="839"/>
      <c r="C263" s="839"/>
      <c r="D263" s="839"/>
      <c r="E263" s="839"/>
      <c r="F263" s="839"/>
      <c r="G263" s="839"/>
      <c r="H263" s="839"/>
      <c r="I263" s="839"/>
      <c r="J263" s="839"/>
      <c r="K263" s="839"/>
      <c r="L263" s="839"/>
      <c r="M263" s="839"/>
      <c r="N263" s="345"/>
      <c r="O263" s="839"/>
      <c r="P263" s="839"/>
      <c r="Q263" s="839"/>
      <c r="R263" s="839"/>
      <c r="S263" s="839"/>
      <c r="T263" s="839"/>
      <c r="U263" s="839"/>
      <c r="V263" s="839"/>
      <c r="W263" s="839"/>
      <c r="X263" s="839"/>
      <c r="Y263" s="839"/>
      <c r="Z263" s="839"/>
    </row>
    <row r="264" spans="2:26" s="1239" customFormat="1" ht="19.899999999999999" customHeight="1">
      <c r="B264" s="839"/>
      <c r="C264" s="839"/>
      <c r="D264" s="839"/>
      <c r="E264" s="839"/>
      <c r="F264" s="839"/>
      <c r="G264" s="839"/>
      <c r="H264" s="839"/>
      <c r="I264" s="839"/>
      <c r="J264" s="839"/>
      <c r="K264" s="839"/>
      <c r="L264" s="839"/>
      <c r="M264" s="839"/>
      <c r="N264" s="345"/>
      <c r="O264" s="839"/>
      <c r="P264" s="839"/>
      <c r="Q264" s="839"/>
      <c r="R264" s="839"/>
      <c r="S264" s="839"/>
      <c r="T264" s="839"/>
      <c r="U264" s="839"/>
      <c r="V264" s="839"/>
      <c r="W264" s="839"/>
      <c r="X264" s="839"/>
      <c r="Y264" s="839"/>
      <c r="Z264" s="839"/>
    </row>
    <row r="265" spans="2:26" s="1239" customFormat="1" ht="19.899999999999999" customHeight="1">
      <c r="B265" s="839"/>
      <c r="C265" s="839"/>
      <c r="D265" s="839"/>
      <c r="E265" s="839"/>
      <c r="F265" s="839"/>
      <c r="G265" s="839"/>
      <c r="H265" s="839"/>
      <c r="I265" s="839"/>
      <c r="J265" s="839"/>
      <c r="K265" s="839"/>
      <c r="L265" s="839"/>
      <c r="M265" s="839"/>
      <c r="N265" s="345"/>
      <c r="O265" s="839"/>
      <c r="P265" s="839"/>
      <c r="Q265" s="839"/>
      <c r="R265" s="839"/>
      <c r="S265" s="839"/>
      <c r="T265" s="839"/>
      <c r="U265" s="839"/>
      <c r="V265" s="839"/>
      <c r="W265" s="839"/>
      <c r="X265" s="839"/>
      <c r="Y265" s="839"/>
      <c r="Z265" s="839"/>
    </row>
    <row r="266" spans="2:26" s="1239" customFormat="1" ht="19.899999999999999" customHeight="1">
      <c r="B266" s="839"/>
      <c r="C266" s="839"/>
      <c r="D266" s="839"/>
      <c r="E266" s="839"/>
      <c r="F266" s="839"/>
      <c r="G266" s="839"/>
      <c r="H266" s="839"/>
      <c r="I266" s="839"/>
      <c r="J266" s="839"/>
      <c r="K266" s="839"/>
      <c r="L266" s="839"/>
      <c r="M266" s="839"/>
      <c r="N266" s="345"/>
      <c r="O266" s="839"/>
      <c r="P266" s="839"/>
      <c r="Q266" s="839"/>
      <c r="R266" s="839"/>
      <c r="S266" s="839"/>
      <c r="T266" s="839"/>
      <c r="U266" s="839"/>
      <c r="V266" s="839"/>
      <c r="W266" s="839"/>
      <c r="X266" s="839"/>
      <c r="Y266" s="839"/>
      <c r="Z266" s="839"/>
    </row>
    <row r="267" spans="2:26" s="1239" customFormat="1" ht="19.899999999999999" customHeight="1">
      <c r="B267" s="839"/>
      <c r="C267" s="839"/>
      <c r="D267" s="839"/>
      <c r="E267" s="839"/>
      <c r="F267" s="839"/>
      <c r="G267" s="839"/>
      <c r="H267" s="839"/>
      <c r="I267" s="839"/>
      <c r="J267" s="839"/>
      <c r="K267" s="839"/>
      <c r="L267" s="839"/>
      <c r="M267" s="839"/>
      <c r="N267" s="345"/>
      <c r="O267" s="839"/>
      <c r="P267" s="839"/>
      <c r="Q267" s="839"/>
      <c r="R267" s="839"/>
      <c r="S267" s="839"/>
      <c r="T267" s="839"/>
      <c r="U267" s="839"/>
      <c r="V267" s="839"/>
      <c r="W267" s="839"/>
      <c r="X267" s="839"/>
      <c r="Y267" s="839"/>
      <c r="Z267" s="839"/>
    </row>
    <row r="268" spans="2:26" s="1239" customFormat="1" ht="19.899999999999999" customHeight="1">
      <c r="B268" s="839"/>
      <c r="C268" s="839"/>
      <c r="D268" s="839"/>
      <c r="E268" s="839"/>
      <c r="F268" s="839"/>
      <c r="G268" s="839"/>
      <c r="H268" s="839"/>
      <c r="I268" s="839"/>
      <c r="J268" s="839"/>
      <c r="K268" s="839"/>
      <c r="L268" s="839"/>
      <c r="M268" s="839"/>
      <c r="N268" s="345"/>
      <c r="O268" s="839"/>
      <c r="P268" s="839"/>
      <c r="Q268" s="839"/>
      <c r="R268" s="839"/>
      <c r="S268" s="839"/>
      <c r="T268" s="839"/>
      <c r="U268" s="839"/>
      <c r="V268" s="839"/>
      <c r="W268" s="839"/>
      <c r="X268" s="839"/>
      <c r="Y268" s="839"/>
      <c r="Z268" s="839"/>
    </row>
    <row r="269" spans="2:26" s="1239" customFormat="1" ht="19.899999999999999" customHeight="1">
      <c r="B269" s="839"/>
      <c r="C269" s="839"/>
      <c r="D269" s="839"/>
      <c r="E269" s="839"/>
      <c r="F269" s="839"/>
      <c r="G269" s="839"/>
      <c r="H269" s="839"/>
      <c r="I269" s="839"/>
      <c r="J269" s="839"/>
      <c r="K269" s="839"/>
      <c r="L269" s="839"/>
      <c r="M269" s="839"/>
      <c r="N269" s="345"/>
      <c r="O269" s="839"/>
      <c r="P269" s="839"/>
      <c r="Q269" s="839"/>
      <c r="R269" s="839"/>
      <c r="S269" s="839"/>
      <c r="T269" s="839"/>
      <c r="U269" s="839"/>
      <c r="V269" s="839"/>
      <c r="W269" s="839"/>
      <c r="X269" s="839"/>
      <c r="Y269" s="839"/>
      <c r="Z269" s="839"/>
    </row>
    <row r="270" spans="2:26" s="1239" customFormat="1" ht="19.899999999999999" customHeight="1">
      <c r="B270" s="839"/>
      <c r="C270" s="839"/>
      <c r="D270" s="839"/>
      <c r="E270" s="839"/>
      <c r="F270" s="839"/>
      <c r="G270" s="839"/>
      <c r="H270" s="839"/>
      <c r="I270" s="839"/>
      <c r="J270" s="839"/>
      <c r="K270" s="839"/>
      <c r="L270" s="839"/>
      <c r="M270" s="839"/>
      <c r="N270" s="345"/>
      <c r="O270" s="839"/>
      <c r="P270" s="839"/>
      <c r="Q270" s="839"/>
      <c r="R270" s="839"/>
      <c r="S270" s="839"/>
      <c r="T270" s="839"/>
      <c r="U270" s="839"/>
      <c r="V270" s="839"/>
      <c r="W270" s="839"/>
      <c r="X270" s="839"/>
      <c r="Y270" s="839"/>
      <c r="Z270" s="839"/>
    </row>
    <row r="271" spans="2:26" s="1239" customFormat="1" ht="19.899999999999999" customHeight="1">
      <c r="B271" s="839"/>
      <c r="C271" s="839"/>
      <c r="D271" s="839"/>
      <c r="E271" s="839"/>
      <c r="F271" s="839"/>
      <c r="G271" s="839"/>
      <c r="H271" s="839"/>
      <c r="I271" s="839"/>
      <c r="J271" s="839"/>
      <c r="K271" s="839"/>
      <c r="L271" s="839"/>
      <c r="M271" s="839"/>
      <c r="N271" s="345"/>
      <c r="O271" s="839"/>
      <c r="P271" s="839"/>
      <c r="Q271" s="839"/>
      <c r="R271" s="839"/>
      <c r="S271" s="839"/>
      <c r="T271" s="839"/>
      <c r="U271" s="839"/>
      <c r="V271" s="839"/>
      <c r="W271" s="839"/>
      <c r="X271" s="839"/>
      <c r="Y271" s="839"/>
      <c r="Z271" s="839"/>
    </row>
    <row r="272" spans="2:26" s="1239" customFormat="1" ht="19.899999999999999" customHeight="1">
      <c r="B272" s="839"/>
      <c r="C272" s="839"/>
      <c r="D272" s="839"/>
      <c r="E272" s="839"/>
      <c r="F272" s="839"/>
      <c r="G272" s="839"/>
      <c r="H272" s="839"/>
      <c r="I272" s="839"/>
      <c r="J272" s="839"/>
      <c r="K272" s="839"/>
      <c r="L272" s="839"/>
      <c r="M272" s="839"/>
      <c r="N272" s="345"/>
      <c r="O272" s="839"/>
      <c r="P272" s="839"/>
      <c r="Q272" s="839"/>
      <c r="R272" s="839"/>
      <c r="S272" s="839"/>
      <c r="T272" s="839"/>
      <c r="U272" s="839"/>
      <c r="V272" s="839"/>
      <c r="W272" s="839"/>
      <c r="X272" s="839"/>
      <c r="Y272" s="839"/>
      <c r="Z272" s="839"/>
    </row>
    <row r="273" spans="2:26" s="1239" customFormat="1" ht="19.899999999999999" customHeight="1">
      <c r="B273" s="839"/>
      <c r="C273" s="839"/>
      <c r="D273" s="839"/>
      <c r="E273" s="839"/>
      <c r="F273" s="839"/>
      <c r="G273" s="839"/>
      <c r="H273" s="839"/>
      <c r="I273" s="839"/>
      <c r="J273" s="839"/>
      <c r="K273" s="839"/>
      <c r="L273" s="839"/>
      <c r="M273" s="839"/>
      <c r="N273" s="345"/>
      <c r="O273" s="839"/>
      <c r="P273" s="839"/>
      <c r="Q273" s="839"/>
      <c r="R273" s="839"/>
      <c r="S273" s="839"/>
      <c r="T273" s="839"/>
      <c r="U273" s="839"/>
      <c r="V273" s="839"/>
      <c r="W273" s="839"/>
      <c r="X273" s="839"/>
      <c r="Y273" s="839"/>
      <c r="Z273" s="839"/>
    </row>
    <row r="274" spans="2:26" s="1239" customFormat="1" ht="19.899999999999999" customHeight="1">
      <c r="B274" s="839"/>
      <c r="C274" s="839"/>
      <c r="D274" s="839"/>
      <c r="E274" s="839"/>
      <c r="F274" s="839"/>
      <c r="G274" s="839"/>
      <c r="H274" s="839"/>
      <c r="I274" s="839"/>
      <c r="J274" s="839"/>
      <c r="K274" s="839"/>
      <c r="L274" s="839"/>
      <c r="M274" s="839"/>
      <c r="N274" s="345"/>
      <c r="O274" s="839"/>
      <c r="P274" s="839"/>
      <c r="Q274" s="839"/>
      <c r="R274" s="839"/>
      <c r="S274" s="839"/>
      <c r="T274" s="839"/>
      <c r="U274" s="839"/>
      <c r="V274" s="839"/>
      <c r="W274" s="839"/>
      <c r="X274" s="839"/>
      <c r="Y274" s="839"/>
      <c r="Z274" s="839"/>
    </row>
    <row r="275" spans="2:26" s="1239" customFormat="1" ht="19.899999999999999" customHeight="1">
      <c r="B275" s="839"/>
      <c r="C275" s="839"/>
      <c r="D275" s="839"/>
      <c r="E275" s="839"/>
      <c r="F275" s="839"/>
      <c r="G275" s="839"/>
      <c r="H275" s="839"/>
      <c r="I275" s="839"/>
      <c r="J275" s="839"/>
      <c r="K275" s="839"/>
      <c r="L275" s="839"/>
      <c r="M275" s="839"/>
      <c r="N275" s="345"/>
      <c r="O275" s="839"/>
      <c r="P275" s="839"/>
      <c r="Q275" s="839"/>
      <c r="R275" s="839"/>
      <c r="S275" s="839"/>
      <c r="T275" s="839"/>
      <c r="U275" s="839"/>
      <c r="V275" s="839"/>
      <c r="W275" s="839"/>
      <c r="X275" s="839"/>
      <c r="Y275" s="839"/>
      <c r="Z275" s="839"/>
    </row>
    <row r="276" spans="2:26" s="1239" customFormat="1" ht="19.899999999999999" customHeight="1">
      <c r="B276" s="839"/>
      <c r="C276" s="839"/>
      <c r="D276" s="839"/>
      <c r="E276" s="839"/>
      <c r="F276" s="839"/>
      <c r="G276" s="839"/>
      <c r="H276" s="839"/>
      <c r="I276" s="839"/>
      <c r="J276" s="839"/>
      <c r="K276" s="839"/>
      <c r="L276" s="839"/>
      <c r="M276" s="839"/>
      <c r="N276" s="345"/>
      <c r="O276" s="839"/>
      <c r="P276" s="839"/>
      <c r="Q276" s="839"/>
      <c r="R276" s="839"/>
      <c r="S276" s="839"/>
      <c r="T276" s="839"/>
      <c r="U276" s="839"/>
      <c r="V276" s="839"/>
      <c r="W276" s="839"/>
      <c r="X276" s="839"/>
      <c r="Y276" s="839"/>
      <c r="Z276" s="839"/>
    </row>
    <row r="277" spans="2:26" s="1239" customFormat="1" ht="19.899999999999999" customHeight="1">
      <c r="B277" s="839"/>
      <c r="C277" s="839"/>
      <c r="D277" s="839"/>
      <c r="E277" s="839"/>
      <c r="F277" s="839"/>
      <c r="G277" s="839"/>
      <c r="H277" s="839"/>
      <c r="I277" s="839"/>
      <c r="J277" s="839"/>
      <c r="K277" s="839"/>
      <c r="L277" s="839"/>
      <c r="M277" s="839"/>
      <c r="N277" s="345"/>
      <c r="O277" s="839"/>
      <c r="P277" s="839"/>
      <c r="Q277" s="839"/>
      <c r="R277" s="839"/>
      <c r="S277" s="839"/>
      <c r="T277" s="839"/>
      <c r="U277" s="839"/>
      <c r="V277" s="839"/>
      <c r="W277" s="839"/>
      <c r="X277" s="839"/>
      <c r="Y277" s="839"/>
      <c r="Z277" s="839"/>
    </row>
    <row r="278" spans="2:26" s="1239" customFormat="1" ht="19.899999999999999" customHeight="1">
      <c r="B278" s="839"/>
      <c r="C278" s="839"/>
      <c r="D278" s="839"/>
      <c r="E278" s="839"/>
      <c r="F278" s="839"/>
      <c r="G278" s="839"/>
      <c r="H278" s="839"/>
      <c r="I278" s="839"/>
      <c r="J278" s="839"/>
      <c r="K278" s="839"/>
      <c r="L278" s="839"/>
      <c r="M278" s="839"/>
      <c r="N278" s="345"/>
      <c r="O278" s="839"/>
      <c r="P278" s="839"/>
      <c r="Q278" s="839"/>
      <c r="R278" s="839"/>
      <c r="S278" s="839"/>
      <c r="T278" s="839"/>
      <c r="U278" s="839"/>
      <c r="V278" s="839"/>
      <c r="W278" s="839"/>
      <c r="X278" s="839"/>
      <c r="Y278" s="839"/>
      <c r="Z278" s="839"/>
    </row>
    <row r="279" spans="2:26" s="1239" customFormat="1" ht="19.899999999999999" customHeight="1">
      <c r="B279" s="839"/>
      <c r="C279" s="839"/>
      <c r="D279" s="839"/>
      <c r="E279" s="839"/>
      <c r="F279" s="839"/>
      <c r="G279" s="839"/>
      <c r="H279" s="839"/>
      <c r="I279" s="839"/>
      <c r="J279" s="839"/>
      <c r="K279" s="839"/>
      <c r="L279" s="839"/>
      <c r="M279" s="839"/>
      <c r="N279" s="345"/>
      <c r="O279" s="839"/>
      <c r="P279" s="839"/>
      <c r="Q279" s="839"/>
      <c r="R279" s="839"/>
      <c r="S279" s="839"/>
      <c r="T279" s="839"/>
      <c r="U279" s="839"/>
      <c r="V279" s="839"/>
      <c r="W279" s="839"/>
      <c r="X279" s="839"/>
      <c r="Y279" s="839"/>
      <c r="Z279" s="839"/>
    </row>
    <row r="280" spans="2:26" s="1239" customFormat="1" ht="19.899999999999999" customHeight="1">
      <c r="B280" s="839"/>
      <c r="C280" s="839"/>
      <c r="D280" s="839"/>
      <c r="E280" s="839"/>
      <c r="F280" s="839"/>
      <c r="G280" s="839"/>
      <c r="H280" s="839"/>
      <c r="I280" s="839"/>
      <c r="J280" s="839"/>
      <c r="K280" s="839"/>
      <c r="L280" s="839"/>
      <c r="M280" s="839"/>
      <c r="N280" s="345"/>
      <c r="O280" s="839"/>
      <c r="P280" s="839"/>
      <c r="Q280" s="839"/>
      <c r="R280" s="839"/>
      <c r="S280" s="839"/>
      <c r="T280" s="839"/>
      <c r="U280" s="839"/>
      <c r="V280" s="839"/>
      <c r="W280" s="839"/>
      <c r="X280" s="839"/>
      <c r="Y280" s="839"/>
      <c r="Z280" s="839"/>
    </row>
    <row r="281" spans="2:26" s="1239" customFormat="1" ht="19.899999999999999" customHeight="1">
      <c r="B281" s="839"/>
      <c r="C281" s="839"/>
      <c r="D281" s="839"/>
      <c r="E281" s="839"/>
      <c r="F281" s="839"/>
      <c r="G281" s="839"/>
      <c r="H281" s="839"/>
      <c r="I281" s="839"/>
      <c r="J281" s="839"/>
      <c r="K281" s="839"/>
      <c r="L281" s="839"/>
      <c r="M281" s="839"/>
      <c r="N281" s="345"/>
      <c r="O281" s="839"/>
      <c r="P281" s="839"/>
      <c r="Q281" s="839"/>
      <c r="R281" s="839"/>
      <c r="S281" s="839"/>
      <c r="T281" s="839"/>
      <c r="U281" s="839"/>
      <c r="V281" s="839"/>
      <c r="W281" s="839"/>
      <c r="X281" s="839"/>
      <c r="Y281" s="839"/>
      <c r="Z281" s="839"/>
    </row>
    <row r="282" spans="2:26" s="1239" customFormat="1" ht="19.899999999999999" customHeight="1">
      <c r="B282" s="839"/>
      <c r="C282" s="839"/>
      <c r="D282" s="839"/>
      <c r="E282" s="839"/>
      <c r="F282" s="839"/>
      <c r="G282" s="839"/>
      <c r="H282" s="839"/>
      <c r="I282" s="839"/>
      <c r="J282" s="839"/>
      <c r="K282" s="839"/>
      <c r="L282" s="839"/>
      <c r="M282" s="839"/>
      <c r="N282" s="345"/>
      <c r="O282" s="839"/>
      <c r="P282" s="839"/>
      <c r="Q282" s="839"/>
      <c r="R282" s="839"/>
      <c r="S282" s="839"/>
      <c r="T282" s="839"/>
      <c r="U282" s="839"/>
      <c r="V282" s="839"/>
      <c r="W282" s="839"/>
      <c r="X282" s="839"/>
      <c r="Y282" s="839"/>
      <c r="Z282" s="839"/>
    </row>
    <row r="283" spans="2:26" s="1239" customFormat="1" ht="19.899999999999999" customHeight="1">
      <c r="B283" s="839"/>
      <c r="C283" s="839"/>
      <c r="D283" s="839"/>
      <c r="E283" s="839"/>
      <c r="F283" s="839"/>
      <c r="G283" s="839"/>
      <c r="H283" s="839"/>
      <c r="I283" s="839"/>
      <c r="J283" s="839"/>
      <c r="K283" s="839"/>
      <c r="L283" s="839"/>
      <c r="M283" s="839"/>
      <c r="N283" s="345"/>
      <c r="O283" s="839"/>
      <c r="P283" s="839"/>
      <c r="Q283" s="839"/>
      <c r="R283" s="839"/>
      <c r="S283" s="839"/>
      <c r="T283" s="839"/>
      <c r="U283" s="839"/>
      <c r="V283" s="839"/>
      <c r="W283" s="839"/>
      <c r="X283" s="839"/>
      <c r="Y283" s="839"/>
      <c r="Z283" s="839"/>
    </row>
    <row r="284" spans="2:26" s="1239" customFormat="1" ht="19.899999999999999" customHeight="1">
      <c r="B284" s="839"/>
      <c r="C284" s="839"/>
      <c r="D284" s="839"/>
      <c r="E284" s="839"/>
      <c r="F284" s="839"/>
      <c r="G284" s="839"/>
      <c r="H284" s="839"/>
      <c r="I284" s="839"/>
      <c r="J284" s="839"/>
      <c r="K284" s="839"/>
      <c r="L284" s="839"/>
      <c r="M284" s="839"/>
      <c r="N284" s="345"/>
      <c r="O284" s="839"/>
      <c r="P284" s="839"/>
      <c r="Q284" s="839"/>
      <c r="R284" s="839"/>
      <c r="S284" s="839"/>
      <c r="T284" s="839"/>
      <c r="U284" s="839"/>
      <c r="V284" s="839"/>
      <c r="W284" s="839"/>
      <c r="X284" s="839"/>
      <c r="Y284" s="839"/>
      <c r="Z284" s="839"/>
    </row>
    <row r="285" spans="2:26" s="1239" customFormat="1" ht="19.899999999999999" customHeight="1">
      <c r="B285" s="839"/>
      <c r="C285" s="839"/>
      <c r="D285" s="839"/>
      <c r="E285" s="839"/>
      <c r="F285" s="839"/>
      <c r="G285" s="839"/>
      <c r="H285" s="839"/>
      <c r="I285" s="839"/>
      <c r="J285" s="839"/>
      <c r="K285" s="839"/>
      <c r="L285" s="839"/>
      <c r="M285" s="839"/>
      <c r="N285" s="345"/>
      <c r="O285" s="839"/>
      <c r="P285" s="839"/>
      <c r="Q285" s="839"/>
      <c r="R285" s="839"/>
      <c r="S285" s="839"/>
      <c r="T285" s="839"/>
      <c r="U285" s="839"/>
      <c r="V285" s="839"/>
      <c r="W285" s="839"/>
      <c r="X285" s="839"/>
      <c r="Y285" s="839"/>
      <c r="Z285" s="839"/>
    </row>
    <row r="286" spans="2:26" s="1239" customFormat="1" ht="19.899999999999999" customHeight="1">
      <c r="B286" s="839"/>
      <c r="C286" s="839"/>
      <c r="D286" s="839"/>
      <c r="E286" s="839"/>
      <c r="F286" s="839"/>
      <c r="G286" s="839"/>
      <c r="H286" s="839"/>
      <c r="I286" s="839"/>
      <c r="J286" s="839"/>
      <c r="K286" s="839"/>
      <c r="L286" s="839"/>
      <c r="M286" s="839"/>
      <c r="N286" s="345"/>
      <c r="O286" s="839"/>
      <c r="P286" s="839"/>
      <c r="Q286" s="839"/>
      <c r="R286" s="839"/>
      <c r="S286" s="839"/>
      <c r="T286" s="839"/>
      <c r="U286" s="839"/>
      <c r="V286" s="839"/>
      <c r="W286" s="839"/>
      <c r="X286" s="839"/>
      <c r="Y286" s="839"/>
      <c r="Z286" s="839"/>
    </row>
    <row r="287" spans="2:26" s="1239" customFormat="1" ht="19.899999999999999" customHeight="1">
      <c r="B287" s="839"/>
      <c r="C287" s="839"/>
      <c r="D287" s="839"/>
      <c r="E287" s="839"/>
      <c r="F287" s="839"/>
      <c r="G287" s="839"/>
      <c r="H287" s="839"/>
      <c r="I287" s="839"/>
      <c r="J287" s="839"/>
      <c r="K287" s="839"/>
      <c r="L287" s="839"/>
      <c r="M287" s="839"/>
      <c r="N287" s="345"/>
      <c r="O287" s="839"/>
      <c r="P287" s="839"/>
      <c r="Q287" s="839"/>
      <c r="R287" s="839"/>
      <c r="S287" s="839"/>
      <c r="T287" s="839"/>
      <c r="U287" s="839"/>
      <c r="V287" s="839"/>
      <c r="W287" s="839"/>
      <c r="X287" s="839"/>
      <c r="Y287" s="839"/>
      <c r="Z287" s="839"/>
    </row>
    <row r="288" spans="2:26" s="1239" customFormat="1" ht="19.899999999999999" customHeight="1">
      <c r="B288" s="839"/>
      <c r="C288" s="839"/>
      <c r="D288" s="839"/>
      <c r="E288" s="839"/>
      <c r="F288" s="839"/>
      <c r="G288" s="839"/>
      <c r="H288" s="839"/>
      <c r="I288" s="839"/>
      <c r="J288" s="839"/>
      <c r="K288" s="839"/>
      <c r="L288" s="839"/>
      <c r="M288" s="839"/>
      <c r="N288" s="345"/>
      <c r="O288" s="839"/>
      <c r="P288" s="839"/>
      <c r="Q288" s="839"/>
      <c r="R288" s="839"/>
      <c r="S288" s="839"/>
      <c r="T288" s="839"/>
      <c r="U288" s="839"/>
      <c r="V288" s="839"/>
      <c r="W288" s="839"/>
      <c r="X288" s="839"/>
      <c r="Y288" s="839"/>
      <c r="Z288" s="839"/>
    </row>
    <row r="289" spans="2:26" s="1239" customFormat="1" ht="19.899999999999999" customHeight="1">
      <c r="B289" s="839"/>
      <c r="C289" s="839"/>
      <c r="D289" s="839"/>
      <c r="E289" s="839"/>
      <c r="F289" s="839"/>
      <c r="G289" s="839"/>
      <c r="H289" s="839"/>
      <c r="I289" s="839"/>
      <c r="J289" s="839"/>
      <c r="K289" s="839"/>
      <c r="L289" s="839"/>
      <c r="M289" s="839"/>
      <c r="N289" s="345"/>
      <c r="O289" s="839"/>
      <c r="P289" s="839"/>
      <c r="Q289" s="839"/>
      <c r="R289" s="839"/>
      <c r="S289" s="839"/>
      <c r="T289" s="839"/>
      <c r="U289" s="839"/>
      <c r="V289" s="839"/>
      <c r="W289" s="839"/>
      <c r="X289" s="839"/>
      <c r="Y289" s="839"/>
      <c r="Z289" s="839"/>
    </row>
    <row r="290" spans="2:26" s="1239" customFormat="1" ht="19.899999999999999" customHeight="1">
      <c r="B290" s="839"/>
      <c r="C290" s="839"/>
      <c r="D290" s="839"/>
      <c r="E290" s="839"/>
      <c r="F290" s="839"/>
      <c r="G290" s="839"/>
      <c r="H290" s="839"/>
      <c r="I290" s="839"/>
      <c r="J290" s="839"/>
      <c r="K290" s="839"/>
      <c r="L290" s="839"/>
      <c r="M290" s="839"/>
      <c r="N290" s="345"/>
      <c r="O290" s="839"/>
      <c r="P290" s="839"/>
      <c r="Q290" s="839"/>
      <c r="R290" s="839"/>
      <c r="S290" s="839"/>
      <c r="T290" s="839"/>
      <c r="U290" s="839"/>
      <c r="V290" s="839"/>
      <c r="W290" s="839"/>
      <c r="X290" s="839"/>
      <c r="Y290" s="839"/>
      <c r="Z290" s="839"/>
    </row>
    <row r="291" spans="2:26" s="1239" customFormat="1" ht="19.899999999999999" customHeight="1">
      <c r="B291" s="839"/>
      <c r="C291" s="839"/>
      <c r="D291" s="839"/>
      <c r="E291" s="839"/>
      <c r="F291" s="839"/>
      <c r="G291" s="839"/>
      <c r="H291" s="839"/>
      <c r="I291" s="839"/>
      <c r="J291" s="839"/>
      <c r="K291" s="839"/>
      <c r="L291" s="839"/>
      <c r="M291" s="839"/>
      <c r="N291" s="345"/>
      <c r="O291" s="839"/>
      <c r="P291" s="839"/>
      <c r="Q291" s="839"/>
      <c r="R291" s="839"/>
      <c r="S291" s="839"/>
      <c r="T291" s="839"/>
      <c r="U291" s="839"/>
      <c r="V291" s="839"/>
      <c r="W291" s="839"/>
      <c r="X291" s="839"/>
      <c r="Y291" s="839"/>
      <c r="Z291" s="839"/>
    </row>
    <row r="292" spans="2:26" s="1239" customFormat="1" ht="19.899999999999999" customHeight="1">
      <c r="B292" s="839"/>
      <c r="C292" s="839"/>
      <c r="D292" s="839"/>
      <c r="E292" s="839"/>
      <c r="F292" s="839"/>
      <c r="G292" s="839"/>
      <c r="H292" s="839"/>
      <c r="I292" s="839"/>
      <c r="J292" s="839"/>
      <c r="K292" s="839"/>
      <c r="L292" s="839"/>
      <c r="M292" s="839"/>
      <c r="N292" s="345"/>
      <c r="O292" s="839"/>
      <c r="P292" s="839"/>
      <c r="Q292" s="839"/>
      <c r="R292" s="839"/>
      <c r="S292" s="839"/>
      <c r="T292" s="839"/>
      <c r="U292" s="839"/>
      <c r="V292" s="839"/>
      <c r="W292" s="839"/>
      <c r="X292" s="839"/>
      <c r="Y292" s="839"/>
      <c r="Z292" s="839"/>
    </row>
    <row r="293" spans="2:26" s="1239" customFormat="1" ht="19.899999999999999" customHeight="1">
      <c r="B293" s="839"/>
      <c r="C293" s="839"/>
      <c r="D293" s="839"/>
      <c r="E293" s="839"/>
      <c r="F293" s="839"/>
      <c r="G293" s="839"/>
      <c r="H293" s="839"/>
      <c r="I293" s="839"/>
      <c r="J293" s="839"/>
      <c r="K293" s="839"/>
      <c r="L293" s="839"/>
      <c r="M293" s="839"/>
      <c r="N293" s="345"/>
      <c r="O293" s="839"/>
      <c r="P293" s="839"/>
      <c r="Q293" s="839"/>
      <c r="R293" s="839"/>
      <c r="S293" s="839"/>
      <c r="T293" s="839"/>
      <c r="U293" s="839"/>
      <c r="V293" s="839"/>
      <c r="W293" s="839"/>
      <c r="X293" s="839"/>
      <c r="Y293" s="839"/>
      <c r="Z293" s="839"/>
    </row>
    <row r="294" spans="2:26" s="1239" customFormat="1" ht="19.899999999999999" customHeight="1">
      <c r="B294" s="839"/>
      <c r="C294" s="839"/>
      <c r="D294" s="839"/>
      <c r="E294" s="839"/>
      <c r="F294" s="839"/>
      <c r="G294" s="839"/>
      <c r="H294" s="839"/>
      <c r="I294" s="839"/>
      <c r="J294" s="839"/>
      <c r="K294" s="839"/>
      <c r="L294" s="839"/>
      <c r="M294" s="839"/>
      <c r="N294" s="345"/>
      <c r="O294" s="839"/>
      <c r="P294" s="839"/>
      <c r="Q294" s="839"/>
      <c r="R294" s="839"/>
      <c r="S294" s="839"/>
      <c r="T294" s="839"/>
      <c r="U294" s="839"/>
      <c r="V294" s="839"/>
      <c r="W294" s="839"/>
      <c r="X294" s="839"/>
      <c r="Y294" s="839"/>
      <c r="Z294" s="839"/>
    </row>
    <row r="295" spans="2:26" s="1239" customFormat="1" ht="19.899999999999999" customHeight="1">
      <c r="B295" s="839"/>
      <c r="C295" s="839"/>
      <c r="D295" s="839"/>
      <c r="E295" s="839"/>
      <c r="F295" s="839"/>
      <c r="G295" s="839"/>
      <c r="H295" s="839"/>
      <c r="I295" s="839"/>
      <c r="J295" s="839"/>
      <c r="K295" s="839"/>
      <c r="L295" s="839"/>
      <c r="M295" s="839"/>
      <c r="N295" s="345"/>
      <c r="O295" s="839"/>
      <c r="P295" s="839"/>
      <c r="Q295" s="839"/>
      <c r="R295" s="839"/>
      <c r="S295" s="839"/>
      <c r="T295" s="839"/>
      <c r="U295" s="839"/>
      <c r="V295" s="839"/>
      <c r="W295" s="839"/>
      <c r="X295" s="839"/>
      <c r="Y295" s="839"/>
      <c r="Z295" s="839"/>
    </row>
    <row r="296" spans="2:26" s="1239" customFormat="1" ht="19.899999999999999" customHeight="1">
      <c r="B296" s="839"/>
      <c r="C296" s="839"/>
      <c r="D296" s="839"/>
      <c r="E296" s="839"/>
      <c r="F296" s="839"/>
      <c r="G296" s="839"/>
      <c r="H296" s="839"/>
      <c r="I296" s="839"/>
      <c r="J296" s="839"/>
      <c r="K296" s="839"/>
      <c r="L296" s="839"/>
      <c r="M296" s="839"/>
      <c r="N296" s="345"/>
      <c r="O296" s="839"/>
      <c r="P296" s="839"/>
      <c r="Q296" s="839"/>
      <c r="R296" s="839"/>
      <c r="S296" s="839"/>
      <c r="T296" s="839"/>
      <c r="U296" s="839"/>
      <c r="V296" s="839"/>
      <c r="W296" s="839"/>
      <c r="X296" s="839"/>
      <c r="Y296" s="839"/>
      <c r="Z296" s="839"/>
    </row>
    <row r="297" spans="2:26" s="1239" customFormat="1" ht="19.899999999999999" customHeight="1">
      <c r="B297" s="839"/>
      <c r="C297" s="839"/>
      <c r="D297" s="839"/>
      <c r="E297" s="839"/>
      <c r="F297" s="839"/>
      <c r="G297" s="839"/>
      <c r="H297" s="839"/>
      <c r="I297" s="839"/>
      <c r="J297" s="839"/>
      <c r="K297" s="839"/>
      <c r="L297" s="839"/>
      <c r="M297" s="839"/>
      <c r="N297" s="345"/>
      <c r="O297" s="839"/>
      <c r="P297" s="839"/>
      <c r="Q297" s="839"/>
      <c r="R297" s="839"/>
      <c r="S297" s="839"/>
      <c r="T297" s="839"/>
      <c r="U297" s="839"/>
      <c r="V297" s="839"/>
      <c r="W297" s="839"/>
      <c r="X297" s="839"/>
      <c r="Y297" s="839"/>
      <c r="Z297" s="839"/>
    </row>
    <row r="298" spans="2:26" s="1239" customFormat="1" ht="19.899999999999999" customHeight="1">
      <c r="B298" s="839"/>
      <c r="C298" s="839"/>
      <c r="D298" s="839"/>
      <c r="E298" s="839"/>
      <c r="F298" s="839"/>
      <c r="G298" s="839"/>
      <c r="H298" s="839"/>
      <c r="I298" s="839"/>
      <c r="J298" s="839"/>
      <c r="K298" s="839"/>
      <c r="L298" s="839"/>
      <c r="M298" s="839"/>
      <c r="N298" s="345"/>
      <c r="O298" s="839"/>
      <c r="P298" s="839"/>
      <c r="Q298" s="839"/>
      <c r="R298" s="839"/>
      <c r="S298" s="839"/>
      <c r="T298" s="839"/>
      <c r="U298" s="839"/>
      <c r="V298" s="839"/>
      <c r="W298" s="839"/>
      <c r="X298" s="839"/>
      <c r="Y298" s="839"/>
      <c r="Z298" s="839"/>
    </row>
    <row r="299" spans="2:26" s="1239" customFormat="1" ht="19.899999999999999" customHeight="1">
      <c r="B299" s="839"/>
      <c r="C299" s="839"/>
      <c r="D299" s="839"/>
      <c r="E299" s="839"/>
      <c r="F299" s="839"/>
      <c r="G299" s="839"/>
      <c r="H299" s="839"/>
      <c r="I299" s="839"/>
      <c r="J299" s="839"/>
      <c r="K299" s="839"/>
      <c r="L299" s="839"/>
      <c r="M299" s="839"/>
      <c r="N299" s="345"/>
      <c r="O299" s="839"/>
      <c r="P299" s="839"/>
      <c r="Q299" s="839"/>
      <c r="R299" s="839"/>
      <c r="S299" s="839"/>
      <c r="T299" s="839"/>
      <c r="U299" s="839"/>
      <c r="V299" s="839"/>
      <c r="W299" s="839"/>
      <c r="X299" s="839"/>
      <c r="Y299" s="839"/>
      <c r="Z299" s="839"/>
    </row>
    <row r="300" spans="2:26" s="1239" customFormat="1" ht="19.899999999999999" customHeight="1">
      <c r="B300" s="839"/>
      <c r="C300" s="839"/>
      <c r="D300" s="839"/>
      <c r="E300" s="839"/>
      <c r="F300" s="839"/>
      <c r="G300" s="839"/>
      <c r="H300" s="839"/>
      <c r="I300" s="839"/>
      <c r="J300" s="839"/>
      <c r="K300" s="839"/>
      <c r="L300" s="839"/>
      <c r="M300" s="839"/>
      <c r="N300" s="345"/>
      <c r="O300" s="839"/>
      <c r="P300" s="839"/>
      <c r="Q300" s="839"/>
      <c r="R300" s="839"/>
      <c r="S300" s="839"/>
      <c r="T300" s="839"/>
      <c r="U300" s="839"/>
      <c r="V300" s="839"/>
      <c r="W300" s="839"/>
      <c r="X300" s="839"/>
      <c r="Y300" s="839"/>
      <c r="Z300" s="839"/>
    </row>
    <row r="301" spans="2:26" s="1239" customFormat="1" ht="19.899999999999999" customHeight="1">
      <c r="B301" s="839"/>
      <c r="C301" s="839"/>
      <c r="D301" s="839"/>
      <c r="E301" s="839"/>
      <c r="F301" s="839"/>
      <c r="G301" s="839"/>
      <c r="H301" s="839"/>
      <c r="I301" s="839"/>
      <c r="J301" s="839"/>
      <c r="K301" s="839"/>
      <c r="L301" s="839"/>
      <c r="M301" s="839"/>
      <c r="N301" s="345"/>
      <c r="O301" s="839"/>
      <c r="P301" s="839"/>
      <c r="Q301" s="839"/>
      <c r="R301" s="839"/>
      <c r="S301" s="839"/>
      <c r="T301" s="839"/>
      <c r="U301" s="839"/>
      <c r="V301" s="839"/>
      <c r="W301" s="839"/>
      <c r="X301" s="839"/>
      <c r="Y301" s="839"/>
      <c r="Z301" s="839"/>
    </row>
    <row r="302" spans="2:26" s="1239" customFormat="1" ht="19.899999999999999" customHeight="1">
      <c r="B302" s="839"/>
      <c r="C302" s="839"/>
      <c r="D302" s="839"/>
      <c r="E302" s="839"/>
      <c r="F302" s="839"/>
      <c r="G302" s="839"/>
      <c r="H302" s="839"/>
      <c r="I302" s="839"/>
      <c r="J302" s="839"/>
      <c r="K302" s="839"/>
      <c r="L302" s="839"/>
      <c r="M302" s="839"/>
      <c r="N302" s="345"/>
      <c r="O302" s="839"/>
      <c r="P302" s="839"/>
      <c r="Q302" s="839"/>
      <c r="R302" s="839"/>
      <c r="S302" s="839"/>
      <c r="T302" s="839"/>
      <c r="U302" s="839"/>
      <c r="V302" s="839"/>
      <c r="W302" s="839"/>
      <c r="X302" s="839"/>
      <c r="Y302" s="839"/>
      <c r="Z302" s="839"/>
    </row>
    <row r="303" spans="2:26" s="1239" customFormat="1" ht="19.899999999999999" customHeight="1">
      <c r="B303" s="839"/>
      <c r="C303" s="839"/>
      <c r="D303" s="839"/>
      <c r="E303" s="839"/>
      <c r="F303" s="839"/>
      <c r="G303" s="839"/>
      <c r="H303" s="839"/>
      <c r="I303" s="839"/>
      <c r="J303" s="839"/>
      <c r="K303" s="839"/>
      <c r="L303" s="839"/>
      <c r="M303" s="839"/>
      <c r="N303" s="345"/>
      <c r="O303" s="839"/>
      <c r="P303" s="839"/>
      <c r="Q303" s="839"/>
      <c r="R303" s="839"/>
      <c r="S303" s="839"/>
      <c r="T303" s="839"/>
      <c r="U303" s="839"/>
      <c r="V303" s="839"/>
      <c r="W303" s="839"/>
      <c r="X303" s="839"/>
      <c r="Y303" s="839"/>
      <c r="Z303" s="839"/>
    </row>
    <row r="304" spans="2:26" s="1239" customFormat="1" ht="19.899999999999999" customHeight="1">
      <c r="B304" s="839"/>
      <c r="C304" s="839"/>
      <c r="D304" s="839"/>
      <c r="E304" s="839"/>
      <c r="F304" s="839"/>
      <c r="G304" s="839"/>
      <c r="H304" s="839"/>
      <c r="I304" s="839"/>
      <c r="J304" s="839"/>
      <c r="K304" s="839"/>
      <c r="L304" s="839"/>
      <c r="M304" s="839"/>
      <c r="N304" s="345"/>
      <c r="O304" s="839"/>
      <c r="P304" s="839"/>
      <c r="Q304" s="839"/>
      <c r="R304" s="839"/>
      <c r="S304" s="839"/>
      <c r="T304" s="839"/>
      <c r="U304" s="839"/>
      <c r="V304" s="839"/>
      <c r="W304" s="839"/>
      <c r="X304" s="839"/>
      <c r="Y304" s="839"/>
      <c r="Z304" s="839"/>
    </row>
    <row r="305" spans="2:26" s="1239" customFormat="1" ht="19.899999999999999" customHeight="1">
      <c r="B305" s="839"/>
      <c r="C305" s="839"/>
      <c r="D305" s="839"/>
      <c r="E305" s="839"/>
      <c r="F305" s="839"/>
      <c r="G305" s="839"/>
      <c r="H305" s="839"/>
      <c r="I305" s="839"/>
      <c r="J305" s="839"/>
      <c r="K305" s="839"/>
      <c r="L305" s="839"/>
      <c r="M305" s="839"/>
      <c r="N305" s="345"/>
      <c r="O305" s="839"/>
      <c r="P305" s="839"/>
      <c r="Q305" s="839"/>
      <c r="R305" s="839"/>
      <c r="S305" s="839"/>
      <c r="T305" s="839"/>
      <c r="U305" s="839"/>
      <c r="V305" s="839"/>
      <c r="W305" s="839"/>
      <c r="X305" s="839"/>
      <c r="Y305" s="839"/>
      <c r="Z305" s="839"/>
    </row>
    <row r="306" spans="2:26" s="1239" customFormat="1" ht="19.899999999999999" customHeight="1">
      <c r="B306" s="839"/>
      <c r="C306" s="839"/>
      <c r="D306" s="839"/>
      <c r="E306" s="839"/>
      <c r="F306" s="839"/>
      <c r="G306" s="839"/>
      <c r="H306" s="839"/>
      <c r="I306" s="839"/>
      <c r="J306" s="839"/>
      <c r="K306" s="839"/>
      <c r="L306" s="839"/>
      <c r="M306" s="839"/>
      <c r="N306" s="345"/>
      <c r="O306" s="839"/>
      <c r="P306" s="839"/>
      <c r="Q306" s="839"/>
      <c r="R306" s="839"/>
      <c r="S306" s="839"/>
      <c r="T306" s="839"/>
      <c r="U306" s="839"/>
      <c r="V306" s="839"/>
      <c r="W306" s="839"/>
      <c r="X306" s="839"/>
      <c r="Y306" s="839"/>
      <c r="Z306" s="839"/>
    </row>
    <row r="307" spans="2:26" s="1239" customFormat="1" ht="19.899999999999999" customHeight="1">
      <c r="B307" s="839"/>
      <c r="C307" s="839"/>
      <c r="D307" s="839"/>
      <c r="E307" s="839"/>
      <c r="F307" s="839"/>
      <c r="G307" s="839"/>
      <c r="H307" s="839"/>
      <c r="I307" s="839"/>
      <c r="J307" s="839"/>
      <c r="K307" s="839"/>
      <c r="L307" s="839"/>
      <c r="M307" s="839"/>
      <c r="N307" s="345"/>
      <c r="O307" s="839"/>
      <c r="P307" s="839"/>
      <c r="Q307" s="839"/>
      <c r="R307" s="839"/>
      <c r="S307" s="839"/>
      <c r="T307" s="839"/>
      <c r="U307" s="839"/>
      <c r="V307" s="839"/>
      <c r="W307" s="839"/>
      <c r="X307" s="839"/>
      <c r="Y307" s="839"/>
      <c r="Z307" s="839"/>
    </row>
    <row r="308" spans="2:26" s="1239" customFormat="1" ht="19.899999999999999" customHeight="1">
      <c r="B308" s="839"/>
      <c r="C308" s="839"/>
      <c r="D308" s="839"/>
      <c r="E308" s="839"/>
      <c r="F308" s="839"/>
      <c r="G308" s="839"/>
      <c r="H308" s="839"/>
      <c r="I308" s="839"/>
      <c r="J308" s="839"/>
      <c r="K308" s="839"/>
      <c r="L308" s="839"/>
      <c r="M308" s="839"/>
      <c r="N308" s="345"/>
      <c r="O308" s="839"/>
      <c r="P308" s="839"/>
      <c r="Q308" s="839"/>
      <c r="R308" s="839"/>
      <c r="S308" s="839"/>
      <c r="T308" s="839"/>
      <c r="U308" s="839"/>
      <c r="V308" s="839"/>
      <c r="W308" s="839"/>
      <c r="X308" s="839"/>
      <c r="Y308" s="839"/>
      <c r="Z308" s="839"/>
    </row>
    <row r="309" spans="2:26" s="1239" customFormat="1" ht="19.899999999999999" customHeight="1">
      <c r="B309" s="839"/>
      <c r="C309" s="839"/>
      <c r="D309" s="839"/>
      <c r="E309" s="839"/>
      <c r="F309" s="839"/>
      <c r="G309" s="839"/>
      <c r="H309" s="839"/>
      <c r="I309" s="839"/>
      <c r="J309" s="839"/>
      <c r="K309" s="839"/>
      <c r="L309" s="839"/>
      <c r="M309" s="839"/>
      <c r="N309" s="345"/>
      <c r="O309" s="839"/>
      <c r="P309" s="839"/>
      <c r="Q309" s="839"/>
      <c r="R309" s="839"/>
      <c r="S309" s="839"/>
      <c r="T309" s="839"/>
      <c r="U309" s="839"/>
      <c r="V309" s="839"/>
      <c r="W309" s="839"/>
      <c r="X309" s="839"/>
      <c r="Y309" s="839"/>
      <c r="Z309" s="839"/>
    </row>
    <row r="310" spans="2:26" s="1239" customFormat="1" ht="19.899999999999999" customHeight="1">
      <c r="B310" s="839"/>
      <c r="C310" s="839"/>
      <c r="D310" s="839"/>
      <c r="E310" s="839"/>
      <c r="F310" s="839"/>
      <c r="G310" s="839"/>
      <c r="H310" s="839"/>
      <c r="I310" s="839"/>
      <c r="J310" s="839"/>
      <c r="K310" s="839"/>
      <c r="L310" s="839"/>
      <c r="M310" s="839"/>
      <c r="N310" s="345"/>
      <c r="O310" s="839"/>
      <c r="P310" s="839"/>
      <c r="Q310" s="839"/>
      <c r="R310" s="839"/>
      <c r="S310" s="839"/>
      <c r="T310" s="839"/>
      <c r="U310" s="839"/>
      <c r="V310" s="839"/>
      <c r="W310" s="839"/>
      <c r="X310" s="839"/>
      <c r="Y310" s="839"/>
      <c r="Z310" s="839"/>
    </row>
    <row r="311" spans="2:26" s="1239" customFormat="1" ht="19.899999999999999" customHeight="1">
      <c r="B311" s="839"/>
      <c r="C311" s="839"/>
      <c r="D311" s="839"/>
      <c r="E311" s="839"/>
      <c r="F311" s="839"/>
      <c r="G311" s="839"/>
      <c r="H311" s="839"/>
      <c r="I311" s="839"/>
      <c r="J311" s="839"/>
      <c r="K311" s="839"/>
      <c r="L311" s="839"/>
      <c r="M311" s="839"/>
      <c r="N311" s="345"/>
      <c r="O311" s="839"/>
      <c r="P311" s="839"/>
      <c r="Q311" s="839"/>
      <c r="R311" s="839"/>
      <c r="S311" s="839"/>
      <c r="T311" s="839"/>
      <c r="U311" s="839"/>
      <c r="V311" s="839"/>
      <c r="W311" s="839"/>
      <c r="X311" s="839"/>
      <c r="Y311" s="839"/>
      <c r="Z311" s="839"/>
    </row>
    <row r="312" spans="2:26" s="1239" customFormat="1" ht="19.899999999999999" customHeight="1">
      <c r="B312" s="839"/>
      <c r="C312" s="839"/>
      <c r="D312" s="839"/>
      <c r="E312" s="839"/>
      <c r="F312" s="839"/>
      <c r="G312" s="839"/>
      <c r="H312" s="839"/>
      <c r="I312" s="839"/>
      <c r="J312" s="839"/>
      <c r="K312" s="839"/>
      <c r="L312" s="839"/>
      <c r="M312" s="839"/>
      <c r="N312" s="345"/>
      <c r="O312" s="839"/>
      <c r="P312" s="839"/>
      <c r="Q312" s="839"/>
      <c r="R312" s="839"/>
      <c r="S312" s="839"/>
      <c r="T312" s="839"/>
      <c r="U312" s="839"/>
      <c r="V312" s="839"/>
      <c r="W312" s="839"/>
      <c r="X312" s="839"/>
      <c r="Y312" s="839"/>
      <c r="Z312" s="839"/>
    </row>
    <row r="313" spans="2:26" s="1239" customFormat="1" ht="19.899999999999999" customHeight="1">
      <c r="B313" s="839"/>
      <c r="C313" s="839"/>
      <c r="D313" s="839"/>
      <c r="E313" s="839"/>
      <c r="F313" s="839"/>
      <c r="G313" s="839"/>
      <c r="H313" s="839"/>
      <c r="I313" s="839"/>
      <c r="J313" s="839"/>
      <c r="K313" s="839"/>
      <c r="L313" s="839"/>
      <c r="M313" s="839"/>
      <c r="N313" s="345"/>
      <c r="O313" s="839"/>
      <c r="P313" s="839"/>
      <c r="Q313" s="839"/>
      <c r="R313" s="839"/>
      <c r="S313" s="839"/>
      <c r="T313" s="839"/>
      <c r="U313" s="839"/>
      <c r="V313" s="839"/>
      <c r="W313" s="839"/>
      <c r="X313" s="839"/>
      <c r="Y313" s="839"/>
      <c r="Z313" s="839"/>
    </row>
    <row r="314" spans="2:26" s="1239" customFormat="1" ht="19.899999999999999" customHeight="1">
      <c r="B314" s="839"/>
      <c r="C314" s="839"/>
      <c r="D314" s="839"/>
      <c r="E314" s="839"/>
      <c r="F314" s="839"/>
      <c r="G314" s="839"/>
      <c r="H314" s="839"/>
      <c r="I314" s="839"/>
      <c r="J314" s="839"/>
      <c r="K314" s="839"/>
      <c r="L314" s="839"/>
      <c r="M314" s="839"/>
      <c r="N314" s="345"/>
      <c r="O314" s="839"/>
      <c r="P314" s="839"/>
      <c r="Q314" s="839"/>
      <c r="R314" s="839"/>
      <c r="S314" s="839"/>
      <c r="T314" s="839"/>
      <c r="U314" s="839"/>
      <c r="V314" s="839"/>
      <c r="W314" s="839"/>
      <c r="X314" s="839"/>
      <c r="Y314" s="839"/>
      <c r="Z314" s="839"/>
    </row>
    <row r="315" spans="2:26" s="1239" customFormat="1" ht="19.899999999999999" customHeight="1">
      <c r="B315" s="839"/>
      <c r="C315" s="839"/>
      <c r="D315" s="839"/>
      <c r="E315" s="839"/>
      <c r="F315" s="839"/>
      <c r="G315" s="839"/>
      <c r="H315" s="839"/>
      <c r="I315" s="839"/>
      <c r="J315" s="839"/>
      <c r="K315" s="839"/>
      <c r="L315" s="839"/>
      <c r="M315" s="839"/>
      <c r="N315" s="345"/>
      <c r="O315" s="839"/>
      <c r="P315" s="839"/>
      <c r="Q315" s="839"/>
      <c r="R315" s="839"/>
      <c r="S315" s="839"/>
      <c r="T315" s="839"/>
      <c r="U315" s="839"/>
      <c r="V315" s="839"/>
      <c r="W315" s="839"/>
      <c r="X315" s="839"/>
      <c r="Y315" s="839"/>
      <c r="Z315" s="839"/>
    </row>
    <row r="316" spans="2:26" s="1239" customFormat="1" ht="19.899999999999999" customHeight="1">
      <c r="B316" s="839"/>
      <c r="C316" s="839"/>
      <c r="D316" s="839"/>
      <c r="E316" s="839"/>
      <c r="F316" s="839"/>
      <c r="G316" s="839"/>
      <c r="H316" s="839"/>
      <c r="I316" s="839"/>
      <c r="J316" s="839"/>
      <c r="K316" s="839"/>
      <c r="L316" s="839"/>
      <c r="M316" s="839"/>
      <c r="N316" s="345"/>
      <c r="O316" s="839"/>
      <c r="P316" s="839"/>
      <c r="Q316" s="839"/>
      <c r="R316" s="839"/>
      <c r="S316" s="839"/>
      <c r="T316" s="839"/>
      <c r="U316" s="839"/>
      <c r="V316" s="839"/>
      <c r="W316" s="839"/>
      <c r="X316" s="839"/>
      <c r="Y316" s="839"/>
      <c r="Z316" s="839"/>
    </row>
    <row r="317" spans="2:26" s="1239" customFormat="1" ht="19.899999999999999" customHeight="1">
      <c r="B317" s="839"/>
      <c r="C317" s="839"/>
      <c r="D317" s="839"/>
      <c r="E317" s="839"/>
      <c r="F317" s="839"/>
      <c r="G317" s="839"/>
      <c r="H317" s="839"/>
      <c r="I317" s="839"/>
      <c r="J317" s="839"/>
      <c r="K317" s="839"/>
      <c r="L317" s="839"/>
      <c r="M317" s="839"/>
      <c r="N317" s="345"/>
      <c r="O317" s="839"/>
      <c r="P317" s="839"/>
      <c r="Q317" s="839"/>
      <c r="R317" s="839"/>
      <c r="S317" s="839"/>
      <c r="T317" s="839"/>
      <c r="U317" s="839"/>
      <c r="V317" s="839"/>
      <c r="W317" s="839"/>
      <c r="X317" s="839"/>
      <c r="Y317" s="839"/>
      <c r="Z317" s="839"/>
    </row>
    <row r="318" spans="2:26" s="1239" customFormat="1" ht="19.899999999999999" customHeight="1">
      <c r="B318" s="839"/>
      <c r="C318" s="839"/>
      <c r="D318" s="839"/>
      <c r="E318" s="839"/>
      <c r="F318" s="839"/>
      <c r="G318" s="839"/>
      <c r="H318" s="839"/>
      <c r="I318" s="839"/>
      <c r="J318" s="839"/>
      <c r="K318" s="839"/>
      <c r="L318" s="839"/>
      <c r="M318" s="839"/>
      <c r="N318" s="345"/>
      <c r="O318" s="839"/>
      <c r="P318" s="839"/>
      <c r="Q318" s="839"/>
      <c r="R318" s="839"/>
      <c r="S318" s="839"/>
      <c r="T318" s="839"/>
      <c r="U318" s="839"/>
      <c r="V318" s="839"/>
      <c r="W318" s="839"/>
      <c r="X318" s="839"/>
      <c r="Y318" s="839"/>
      <c r="Z318" s="839"/>
    </row>
    <row r="319" spans="2:26" s="1239" customFormat="1" ht="19.899999999999999" customHeight="1">
      <c r="B319" s="839"/>
      <c r="C319" s="839"/>
      <c r="D319" s="839"/>
      <c r="E319" s="839"/>
      <c r="F319" s="839"/>
      <c r="G319" s="839"/>
      <c r="H319" s="839"/>
      <c r="I319" s="839"/>
      <c r="J319" s="839"/>
      <c r="K319" s="839"/>
      <c r="L319" s="839"/>
      <c r="M319" s="839"/>
      <c r="N319" s="345"/>
      <c r="O319" s="839"/>
      <c r="P319" s="839"/>
      <c r="Q319" s="839"/>
      <c r="R319" s="839"/>
      <c r="S319" s="839"/>
      <c r="T319" s="839"/>
      <c r="U319" s="839"/>
      <c r="V319" s="839"/>
      <c r="W319" s="839"/>
      <c r="X319" s="839"/>
      <c r="Y319" s="839"/>
      <c r="Z319" s="839"/>
    </row>
    <row r="320" spans="2:26" s="1239" customFormat="1" ht="19.899999999999999" customHeight="1">
      <c r="B320" s="839"/>
      <c r="C320" s="839"/>
      <c r="D320" s="839"/>
      <c r="E320" s="839"/>
      <c r="F320" s="839"/>
      <c r="G320" s="839"/>
      <c r="H320" s="839"/>
      <c r="I320" s="839"/>
      <c r="J320" s="839"/>
      <c r="K320" s="839"/>
      <c r="L320" s="839"/>
      <c r="M320" s="839"/>
      <c r="N320" s="345"/>
      <c r="O320" s="839"/>
      <c r="P320" s="839"/>
      <c r="Q320" s="839"/>
      <c r="R320" s="839"/>
      <c r="S320" s="839"/>
      <c r="T320" s="839"/>
      <c r="U320" s="839"/>
      <c r="V320" s="839"/>
      <c r="W320" s="839"/>
      <c r="X320" s="839"/>
      <c r="Y320" s="839"/>
      <c r="Z320" s="839"/>
    </row>
    <row r="321" spans="2:26" s="1239" customFormat="1" ht="19.899999999999999" customHeight="1">
      <c r="B321" s="839"/>
      <c r="C321" s="839"/>
      <c r="D321" s="839"/>
      <c r="E321" s="839"/>
      <c r="F321" s="839"/>
      <c r="G321" s="839"/>
      <c r="H321" s="839"/>
      <c r="I321" s="839"/>
      <c r="J321" s="839"/>
      <c r="K321" s="839"/>
      <c r="L321" s="839"/>
      <c r="M321" s="839"/>
      <c r="N321" s="345"/>
      <c r="O321" s="839"/>
      <c r="P321" s="839"/>
      <c r="Q321" s="839"/>
      <c r="R321" s="839"/>
      <c r="S321" s="839"/>
      <c r="T321" s="839"/>
      <c r="U321" s="839"/>
      <c r="V321" s="839"/>
      <c r="W321" s="839"/>
      <c r="X321" s="839"/>
      <c r="Y321" s="839"/>
      <c r="Z321" s="839"/>
    </row>
    <row r="322" spans="2:26" s="1239" customFormat="1" ht="19.899999999999999" customHeight="1">
      <c r="B322" s="839"/>
      <c r="C322" s="839"/>
      <c r="D322" s="839"/>
      <c r="E322" s="839"/>
      <c r="F322" s="839"/>
      <c r="G322" s="839"/>
      <c r="H322" s="839"/>
      <c r="I322" s="839"/>
      <c r="J322" s="839"/>
      <c r="K322" s="839"/>
      <c r="L322" s="839"/>
      <c r="M322" s="839"/>
      <c r="N322" s="345"/>
      <c r="O322" s="839"/>
      <c r="P322" s="839"/>
      <c r="Q322" s="839"/>
      <c r="R322" s="839"/>
      <c r="S322" s="839"/>
      <c r="T322" s="839"/>
      <c r="U322" s="839"/>
      <c r="V322" s="839"/>
      <c r="W322" s="839"/>
      <c r="X322" s="839"/>
      <c r="Y322" s="839"/>
      <c r="Z322" s="839"/>
    </row>
    <row r="323" spans="2:26" s="1239" customFormat="1" ht="19.899999999999999" customHeight="1">
      <c r="B323" s="839"/>
      <c r="C323" s="839"/>
      <c r="D323" s="839"/>
      <c r="E323" s="839"/>
      <c r="F323" s="839"/>
      <c r="G323" s="839"/>
      <c r="H323" s="839"/>
      <c r="I323" s="839"/>
      <c r="J323" s="839"/>
      <c r="K323" s="839"/>
      <c r="L323" s="839"/>
      <c r="M323" s="839"/>
      <c r="N323" s="345"/>
      <c r="O323" s="839"/>
      <c r="P323" s="839"/>
      <c r="Q323" s="839"/>
      <c r="R323" s="839"/>
      <c r="S323" s="839"/>
      <c r="T323" s="839"/>
      <c r="U323" s="839"/>
      <c r="V323" s="839"/>
      <c r="W323" s="839"/>
      <c r="X323" s="839"/>
      <c r="Y323" s="839"/>
      <c r="Z323" s="839"/>
    </row>
    <row r="324" spans="2:26" s="1239" customFormat="1" ht="19.899999999999999" customHeight="1">
      <c r="B324" s="839"/>
      <c r="C324" s="839"/>
      <c r="D324" s="839"/>
      <c r="E324" s="839"/>
      <c r="F324" s="839"/>
      <c r="G324" s="839"/>
      <c r="H324" s="839"/>
      <c r="I324" s="839"/>
      <c r="J324" s="839"/>
      <c r="K324" s="839"/>
      <c r="L324" s="839"/>
      <c r="M324" s="839"/>
      <c r="N324" s="345"/>
      <c r="O324" s="839"/>
      <c r="P324" s="839"/>
      <c r="Q324" s="839"/>
      <c r="R324" s="839"/>
      <c r="S324" s="839"/>
      <c r="T324" s="839"/>
      <c r="U324" s="839"/>
      <c r="V324" s="839"/>
      <c r="W324" s="839"/>
      <c r="X324" s="839"/>
      <c r="Y324" s="839"/>
      <c r="Z324" s="839"/>
    </row>
    <row r="325" spans="2:26" s="1239" customFormat="1" ht="19.899999999999999" customHeight="1">
      <c r="B325" s="839"/>
      <c r="C325" s="839"/>
      <c r="D325" s="839"/>
      <c r="E325" s="839"/>
      <c r="F325" s="839"/>
      <c r="G325" s="839"/>
      <c r="H325" s="839"/>
      <c r="I325" s="839"/>
      <c r="J325" s="839"/>
      <c r="K325" s="839"/>
      <c r="L325" s="839"/>
      <c r="M325" s="839"/>
      <c r="N325" s="345"/>
      <c r="O325" s="839"/>
      <c r="P325" s="839"/>
      <c r="Q325" s="839"/>
      <c r="R325" s="839"/>
      <c r="S325" s="839"/>
      <c r="T325" s="839"/>
      <c r="U325" s="839"/>
      <c r="V325" s="839"/>
      <c r="W325" s="839"/>
      <c r="X325" s="839"/>
      <c r="Y325" s="839"/>
      <c r="Z325" s="839"/>
    </row>
    <row r="326" spans="2:26" s="1239" customFormat="1" ht="19.899999999999999" customHeight="1">
      <c r="B326" s="839"/>
      <c r="C326" s="839"/>
      <c r="D326" s="839"/>
      <c r="E326" s="839"/>
      <c r="F326" s="839"/>
      <c r="G326" s="839"/>
      <c r="H326" s="839"/>
      <c r="I326" s="839"/>
      <c r="J326" s="839"/>
      <c r="K326" s="839"/>
      <c r="L326" s="839"/>
      <c r="M326" s="839"/>
      <c r="N326" s="345"/>
      <c r="O326" s="839"/>
      <c r="P326" s="839"/>
      <c r="Q326" s="839"/>
      <c r="R326" s="839"/>
      <c r="S326" s="839"/>
      <c r="T326" s="839"/>
      <c r="U326" s="839"/>
      <c r="V326" s="839"/>
      <c r="W326" s="839"/>
      <c r="X326" s="839"/>
      <c r="Y326" s="839"/>
      <c r="Z326" s="839"/>
    </row>
    <row r="327" spans="2:26" s="1239" customFormat="1" ht="19.899999999999999" customHeight="1">
      <c r="B327" s="839"/>
      <c r="C327" s="839"/>
      <c r="D327" s="839"/>
      <c r="E327" s="839"/>
      <c r="F327" s="839"/>
      <c r="G327" s="839"/>
      <c r="H327" s="839"/>
      <c r="I327" s="839"/>
      <c r="J327" s="839"/>
      <c r="K327" s="839"/>
      <c r="L327" s="839"/>
      <c r="M327" s="839"/>
      <c r="N327" s="345"/>
      <c r="O327" s="839"/>
      <c r="P327" s="839"/>
      <c r="Q327" s="839"/>
      <c r="R327" s="839"/>
      <c r="S327" s="839"/>
      <c r="T327" s="839"/>
      <c r="U327" s="839"/>
      <c r="V327" s="839"/>
      <c r="W327" s="839"/>
      <c r="X327" s="839"/>
      <c r="Y327" s="839"/>
      <c r="Z327" s="839"/>
    </row>
    <row r="328" spans="2:26" s="1239" customFormat="1" ht="19.899999999999999" customHeight="1">
      <c r="B328" s="839"/>
      <c r="C328" s="839"/>
      <c r="D328" s="839"/>
      <c r="E328" s="839"/>
      <c r="F328" s="839"/>
      <c r="G328" s="839"/>
      <c r="H328" s="839"/>
      <c r="I328" s="839"/>
      <c r="J328" s="839"/>
      <c r="K328" s="839"/>
      <c r="L328" s="839"/>
      <c r="M328" s="839"/>
      <c r="N328" s="345"/>
      <c r="O328" s="839"/>
      <c r="P328" s="839"/>
      <c r="Q328" s="839"/>
      <c r="R328" s="839"/>
      <c r="S328" s="839"/>
      <c r="T328" s="839"/>
      <c r="U328" s="839"/>
      <c r="V328" s="839"/>
      <c r="W328" s="839"/>
      <c r="X328" s="839"/>
      <c r="Y328" s="839"/>
      <c r="Z328" s="839"/>
    </row>
    <row r="329" spans="2:26" s="1239" customFormat="1" ht="19.899999999999999" customHeight="1">
      <c r="B329" s="839"/>
      <c r="C329" s="839"/>
      <c r="D329" s="839"/>
      <c r="E329" s="839"/>
      <c r="F329" s="839"/>
      <c r="G329" s="839"/>
      <c r="H329" s="839"/>
      <c r="I329" s="839"/>
      <c r="J329" s="839"/>
      <c r="K329" s="839"/>
      <c r="L329" s="839"/>
      <c r="M329" s="839"/>
      <c r="N329" s="345"/>
      <c r="O329" s="839"/>
      <c r="P329" s="839"/>
      <c r="Q329" s="839"/>
      <c r="R329" s="839"/>
      <c r="S329" s="839"/>
      <c r="T329" s="839"/>
      <c r="U329" s="839"/>
      <c r="V329" s="839"/>
      <c r="W329" s="839"/>
      <c r="X329" s="839"/>
      <c r="Y329" s="839"/>
      <c r="Z329" s="839"/>
    </row>
    <row r="330" spans="2:26" s="1239" customFormat="1" ht="19.899999999999999" customHeight="1">
      <c r="B330" s="839"/>
      <c r="C330" s="839"/>
      <c r="D330" s="839"/>
      <c r="E330" s="839"/>
      <c r="F330" s="839"/>
      <c r="G330" s="839"/>
      <c r="H330" s="839"/>
      <c r="I330" s="839"/>
      <c r="J330" s="839"/>
      <c r="K330" s="839"/>
      <c r="L330" s="839"/>
      <c r="M330" s="839"/>
      <c r="N330" s="345"/>
      <c r="O330" s="839"/>
      <c r="P330" s="839"/>
      <c r="Q330" s="839"/>
      <c r="R330" s="839"/>
      <c r="S330" s="839"/>
      <c r="T330" s="839"/>
      <c r="U330" s="839"/>
      <c r="V330" s="839"/>
      <c r="W330" s="839"/>
      <c r="X330" s="839"/>
      <c r="Y330" s="839"/>
      <c r="Z330" s="839"/>
    </row>
    <row r="331" spans="2:26" s="1239" customFormat="1" ht="19.899999999999999" customHeight="1">
      <c r="B331" s="839"/>
      <c r="C331" s="839"/>
      <c r="D331" s="839"/>
      <c r="E331" s="839"/>
      <c r="F331" s="839"/>
      <c r="G331" s="839"/>
      <c r="H331" s="839"/>
      <c r="I331" s="839"/>
      <c r="J331" s="839"/>
      <c r="K331" s="839"/>
      <c r="L331" s="839"/>
      <c r="M331" s="839"/>
      <c r="N331" s="345"/>
      <c r="O331" s="839"/>
      <c r="P331" s="839"/>
      <c r="Q331" s="839"/>
      <c r="R331" s="839"/>
      <c r="S331" s="839"/>
      <c r="T331" s="839"/>
      <c r="U331" s="839"/>
      <c r="V331" s="839"/>
      <c r="W331" s="839"/>
      <c r="X331" s="839"/>
      <c r="Y331" s="839"/>
      <c r="Z331" s="839"/>
    </row>
    <row r="332" spans="2:26" s="1239" customFormat="1" ht="19.899999999999999" customHeight="1">
      <c r="B332" s="839"/>
      <c r="C332" s="839"/>
      <c r="D332" s="839"/>
      <c r="E332" s="839"/>
      <c r="F332" s="839"/>
      <c r="G332" s="839"/>
      <c r="H332" s="839"/>
      <c r="I332" s="839"/>
      <c r="J332" s="839"/>
      <c r="K332" s="839"/>
      <c r="L332" s="839"/>
      <c r="M332" s="839"/>
      <c r="N332" s="345"/>
      <c r="O332" s="839"/>
      <c r="P332" s="839"/>
      <c r="Q332" s="839"/>
      <c r="R332" s="839"/>
      <c r="S332" s="839"/>
      <c r="T332" s="839"/>
      <c r="U332" s="839"/>
      <c r="V332" s="839"/>
      <c r="W332" s="839"/>
      <c r="X332" s="839"/>
      <c r="Y332" s="839"/>
      <c r="Z332" s="839"/>
    </row>
    <row r="333" spans="2:26" s="1239" customFormat="1" ht="19.899999999999999" customHeight="1">
      <c r="B333" s="839"/>
      <c r="C333" s="839"/>
      <c r="D333" s="839"/>
      <c r="E333" s="839"/>
      <c r="F333" s="839"/>
      <c r="G333" s="839"/>
      <c r="H333" s="839"/>
      <c r="I333" s="839"/>
      <c r="J333" s="839"/>
      <c r="K333" s="839"/>
      <c r="L333" s="839"/>
      <c r="M333" s="839"/>
      <c r="N333" s="345"/>
      <c r="O333" s="839"/>
      <c r="P333" s="839"/>
      <c r="Q333" s="839"/>
      <c r="R333" s="839"/>
      <c r="S333" s="839"/>
      <c r="T333" s="839"/>
      <c r="U333" s="839"/>
      <c r="V333" s="839"/>
      <c r="W333" s="839"/>
      <c r="X333" s="839"/>
      <c r="Y333" s="839"/>
      <c r="Z333" s="839"/>
    </row>
    <row r="334" spans="2:26" s="1239" customFormat="1" ht="19.899999999999999" customHeight="1">
      <c r="B334" s="839"/>
      <c r="C334" s="839"/>
      <c r="D334" s="839"/>
      <c r="E334" s="839"/>
      <c r="F334" s="839"/>
      <c r="G334" s="839"/>
      <c r="H334" s="839"/>
      <c r="I334" s="839"/>
      <c r="J334" s="839"/>
      <c r="K334" s="839"/>
      <c r="L334" s="839"/>
      <c r="M334" s="839"/>
      <c r="N334" s="345"/>
      <c r="O334" s="839"/>
      <c r="P334" s="839"/>
      <c r="Q334" s="839"/>
      <c r="R334" s="839"/>
      <c r="S334" s="839"/>
      <c r="T334" s="839"/>
      <c r="U334" s="839"/>
      <c r="V334" s="839"/>
      <c r="W334" s="839"/>
      <c r="X334" s="839"/>
      <c r="Y334" s="839"/>
      <c r="Z334" s="839"/>
    </row>
    <row r="335" spans="2:26" s="1239" customFormat="1" ht="19.899999999999999" customHeight="1">
      <c r="B335" s="839"/>
      <c r="C335" s="839"/>
      <c r="D335" s="839"/>
      <c r="E335" s="839"/>
      <c r="F335" s="839"/>
      <c r="G335" s="839"/>
      <c r="H335" s="839"/>
      <c r="I335" s="839"/>
      <c r="J335" s="839"/>
      <c r="K335" s="839"/>
      <c r="L335" s="839"/>
      <c r="M335" s="839"/>
      <c r="N335" s="345"/>
      <c r="O335" s="839"/>
      <c r="P335" s="839"/>
      <c r="Q335" s="839"/>
      <c r="R335" s="839"/>
      <c r="S335" s="839"/>
      <c r="T335" s="839"/>
      <c r="U335" s="839"/>
      <c r="V335" s="839"/>
      <c r="W335" s="839"/>
      <c r="X335" s="839"/>
      <c r="Y335" s="839"/>
      <c r="Z335" s="839"/>
    </row>
    <row r="336" spans="2:26" s="1239" customFormat="1" ht="19.899999999999999" customHeight="1">
      <c r="B336" s="839"/>
      <c r="C336" s="839"/>
      <c r="D336" s="839"/>
      <c r="E336" s="839"/>
      <c r="F336" s="839"/>
      <c r="G336" s="839"/>
      <c r="H336" s="839"/>
      <c r="I336" s="839"/>
      <c r="J336" s="839"/>
      <c r="K336" s="839"/>
      <c r="L336" s="839"/>
      <c r="M336" s="839"/>
      <c r="N336" s="345"/>
      <c r="O336" s="839"/>
      <c r="P336" s="839"/>
      <c r="Q336" s="839"/>
      <c r="R336" s="839"/>
      <c r="S336" s="839"/>
      <c r="T336" s="839"/>
      <c r="U336" s="839"/>
      <c r="V336" s="839"/>
      <c r="W336" s="839"/>
      <c r="X336" s="839"/>
      <c r="Y336" s="839"/>
      <c r="Z336" s="839"/>
    </row>
    <row r="337" spans="2:26" s="1239" customFormat="1" ht="19.899999999999999" customHeight="1">
      <c r="B337" s="839"/>
      <c r="C337" s="839"/>
      <c r="D337" s="839"/>
      <c r="E337" s="839"/>
      <c r="F337" s="839"/>
      <c r="G337" s="839"/>
      <c r="H337" s="839"/>
      <c r="I337" s="839"/>
      <c r="J337" s="839"/>
      <c r="K337" s="839"/>
      <c r="L337" s="839"/>
      <c r="M337" s="839"/>
      <c r="N337" s="345"/>
      <c r="O337" s="839"/>
      <c r="P337" s="839"/>
      <c r="Q337" s="839"/>
      <c r="R337" s="839"/>
      <c r="S337" s="839"/>
      <c r="T337" s="839"/>
      <c r="U337" s="839"/>
      <c r="V337" s="839"/>
      <c r="W337" s="839"/>
      <c r="X337" s="839"/>
      <c r="Y337" s="839"/>
      <c r="Z337" s="839"/>
    </row>
    <row r="338" spans="2:26" s="1239" customFormat="1" ht="19.899999999999999" customHeight="1">
      <c r="B338" s="839"/>
      <c r="C338" s="839"/>
      <c r="D338" s="839"/>
      <c r="E338" s="839"/>
      <c r="F338" s="839"/>
      <c r="G338" s="839"/>
      <c r="H338" s="839"/>
      <c r="I338" s="839"/>
      <c r="J338" s="839"/>
      <c r="K338" s="839"/>
      <c r="L338" s="839"/>
      <c r="M338" s="839"/>
      <c r="N338" s="345"/>
      <c r="O338" s="839"/>
      <c r="P338" s="839"/>
      <c r="Q338" s="839"/>
      <c r="R338" s="839"/>
      <c r="S338" s="839"/>
      <c r="T338" s="839"/>
      <c r="U338" s="839"/>
      <c r="V338" s="839"/>
      <c r="W338" s="839"/>
      <c r="X338" s="839"/>
      <c r="Y338" s="839"/>
      <c r="Z338" s="839"/>
    </row>
    <row r="339" spans="2:26" s="1239" customFormat="1" ht="19.899999999999999" customHeight="1">
      <c r="B339" s="839"/>
      <c r="C339" s="839"/>
      <c r="D339" s="839"/>
      <c r="E339" s="839"/>
      <c r="F339" s="839"/>
      <c r="G339" s="839"/>
      <c r="H339" s="839"/>
      <c r="I339" s="839"/>
      <c r="J339" s="839"/>
      <c r="K339" s="839"/>
      <c r="L339" s="839"/>
      <c r="M339" s="839"/>
      <c r="N339" s="345"/>
      <c r="O339" s="839"/>
      <c r="P339" s="839"/>
      <c r="Q339" s="839"/>
      <c r="R339" s="839"/>
      <c r="S339" s="839"/>
      <c r="T339" s="839"/>
      <c r="U339" s="839"/>
      <c r="V339" s="839"/>
      <c r="W339" s="839"/>
      <c r="X339" s="839"/>
      <c r="Y339" s="839"/>
      <c r="Z339" s="839"/>
    </row>
    <row r="340" spans="2:26" s="1239" customFormat="1" ht="19.899999999999999" customHeight="1">
      <c r="B340" s="839"/>
      <c r="C340" s="839"/>
      <c r="D340" s="839"/>
      <c r="E340" s="839"/>
      <c r="F340" s="839"/>
      <c r="G340" s="839"/>
      <c r="H340" s="839"/>
      <c r="I340" s="839"/>
      <c r="J340" s="839"/>
      <c r="K340" s="839"/>
      <c r="L340" s="839"/>
      <c r="M340" s="839"/>
      <c r="N340" s="345"/>
      <c r="O340" s="839"/>
      <c r="P340" s="839"/>
      <c r="Q340" s="839"/>
      <c r="R340" s="839"/>
      <c r="S340" s="839"/>
      <c r="T340" s="839"/>
      <c r="U340" s="839"/>
      <c r="V340" s="839"/>
      <c r="W340" s="839"/>
      <c r="X340" s="839"/>
      <c r="Y340" s="839"/>
      <c r="Z340" s="839"/>
    </row>
    <row r="341" spans="2:26" s="1239" customFormat="1" ht="19.899999999999999" customHeight="1">
      <c r="B341" s="839"/>
      <c r="C341" s="839"/>
      <c r="D341" s="839"/>
      <c r="E341" s="839"/>
      <c r="F341" s="839"/>
      <c r="G341" s="839"/>
      <c r="H341" s="839"/>
      <c r="I341" s="839"/>
      <c r="J341" s="839"/>
      <c r="K341" s="839"/>
      <c r="L341" s="839"/>
      <c r="M341" s="839"/>
      <c r="N341" s="345"/>
      <c r="O341" s="839"/>
      <c r="P341" s="839"/>
      <c r="Q341" s="839"/>
      <c r="R341" s="839"/>
      <c r="S341" s="839"/>
      <c r="T341" s="839"/>
      <c r="U341" s="839"/>
      <c r="V341" s="839"/>
      <c r="W341" s="839"/>
      <c r="X341" s="839"/>
      <c r="Y341" s="839"/>
      <c r="Z341" s="839"/>
    </row>
    <row r="342" spans="2:26" s="1239" customFormat="1" ht="19.899999999999999" customHeight="1">
      <c r="B342" s="839"/>
      <c r="C342" s="839"/>
      <c r="D342" s="839"/>
      <c r="E342" s="839"/>
      <c r="F342" s="839"/>
      <c r="G342" s="839"/>
      <c r="H342" s="839"/>
      <c r="I342" s="839"/>
      <c r="J342" s="839"/>
      <c r="K342" s="839"/>
      <c r="L342" s="839"/>
      <c r="M342" s="839"/>
      <c r="N342" s="345"/>
      <c r="O342" s="839"/>
      <c r="P342" s="839"/>
      <c r="Q342" s="839"/>
      <c r="R342" s="839"/>
      <c r="S342" s="839"/>
      <c r="T342" s="839"/>
      <c r="U342" s="839"/>
      <c r="V342" s="839"/>
      <c r="W342" s="839"/>
      <c r="X342" s="839"/>
      <c r="Y342" s="839"/>
      <c r="Z342" s="839"/>
    </row>
    <row r="343" spans="2:26" s="1239" customFormat="1" ht="19.899999999999999" customHeight="1">
      <c r="B343" s="839"/>
      <c r="C343" s="839"/>
      <c r="D343" s="839"/>
      <c r="E343" s="839"/>
      <c r="F343" s="839"/>
      <c r="G343" s="839"/>
      <c r="H343" s="839"/>
      <c r="I343" s="839"/>
      <c r="J343" s="839"/>
      <c r="K343" s="839"/>
      <c r="L343" s="839"/>
      <c r="M343" s="839"/>
      <c r="N343" s="345"/>
      <c r="O343" s="839"/>
      <c r="P343" s="839"/>
      <c r="Q343" s="839"/>
      <c r="R343" s="839"/>
      <c r="S343" s="839"/>
      <c r="T343" s="839"/>
      <c r="U343" s="839"/>
      <c r="V343" s="839"/>
      <c r="W343" s="839"/>
      <c r="X343" s="839"/>
      <c r="Y343" s="839"/>
      <c r="Z343" s="839"/>
    </row>
    <row r="344" spans="2:26" s="1239" customFormat="1" ht="19.899999999999999" customHeight="1">
      <c r="B344" s="839"/>
      <c r="C344" s="839"/>
      <c r="D344" s="839"/>
      <c r="E344" s="839"/>
      <c r="F344" s="839"/>
      <c r="G344" s="839"/>
      <c r="H344" s="839"/>
      <c r="I344" s="839"/>
      <c r="J344" s="839"/>
      <c r="K344" s="839"/>
      <c r="L344" s="839"/>
      <c r="M344" s="839"/>
      <c r="N344" s="345"/>
      <c r="O344" s="839"/>
      <c r="P344" s="839"/>
      <c r="Q344" s="839"/>
      <c r="R344" s="839"/>
      <c r="S344" s="839"/>
      <c r="T344" s="839"/>
      <c r="U344" s="839"/>
      <c r="V344" s="839"/>
      <c r="W344" s="839"/>
      <c r="X344" s="839"/>
      <c r="Y344" s="839"/>
      <c r="Z344" s="839"/>
    </row>
    <row r="345" spans="2:26" s="1239" customFormat="1" ht="19.899999999999999" customHeight="1">
      <c r="B345" s="839"/>
      <c r="C345" s="839"/>
      <c r="D345" s="839"/>
      <c r="E345" s="839"/>
      <c r="F345" s="839"/>
      <c r="G345" s="839"/>
      <c r="H345" s="839"/>
      <c r="I345" s="839"/>
      <c r="J345" s="839"/>
      <c r="K345" s="839"/>
      <c r="L345" s="839"/>
      <c r="M345" s="839"/>
      <c r="N345" s="345"/>
      <c r="O345" s="839"/>
      <c r="P345" s="839"/>
      <c r="Q345" s="839"/>
      <c r="R345" s="839"/>
      <c r="S345" s="839"/>
      <c r="T345" s="839"/>
      <c r="U345" s="839"/>
      <c r="V345" s="839"/>
      <c r="W345" s="839"/>
      <c r="X345" s="839"/>
      <c r="Y345" s="839"/>
      <c r="Z345" s="839"/>
    </row>
    <row r="346" spans="2:26" s="1239" customFormat="1" ht="19.899999999999999" customHeight="1">
      <c r="B346" s="839"/>
      <c r="C346" s="839"/>
      <c r="D346" s="839"/>
      <c r="E346" s="839"/>
      <c r="F346" s="839"/>
      <c r="G346" s="839"/>
      <c r="H346" s="839"/>
      <c r="I346" s="839"/>
      <c r="J346" s="839"/>
      <c r="K346" s="839"/>
      <c r="L346" s="839"/>
      <c r="M346" s="839"/>
      <c r="N346" s="345"/>
      <c r="O346" s="839"/>
      <c r="P346" s="839"/>
      <c r="Q346" s="839"/>
      <c r="R346" s="839"/>
      <c r="S346" s="839"/>
      <c r="T346" s="839"/>
      <c r="U346" s="839"/>
      <c r="V346" s="839"/>
      <c r="W346" s="839"/>
      <c r="X346" s="839"/>
      <c r="Y346" s="839"/>
      <c r="Z346" s="839"/>
    </row>
    <row r="347" spans="2:26" s="1239" customFormat="1" ht="19.899999999999999" customHeight="1">
      <c r="B347" s="839"/>
      <c r="C347" s="839"/>
      <c r="D347" s="839"/>
      <c r="E347" s="839"/>
      <c r="F347" s="839"/>
      <c r="G347" s="839"/>
      <c r="H347" s="839"/>
      <c r="I347" s="839"/>
      <c r="J347" s="839"/>
      <c r="K347" s="839"/>
      <c r="L347" s="839"/>
      <c r="M347" s="839"/>
      <c r="N347" s="345"/>
      <c r="O347" s="839"/>
      <c r="P347" s="839"/>
      <c r="Q347" s="839"/>
      <c r="R347" s="839"/>
      <c r="S347" s="839"/>
      <c r="T347" s="839"/>
      <c r="U347" s="839"/>
      <c r="V347" s="839"/>
      <c r="W347" s="839"/>
      <c r="X347" s="839"/>
      <c r="Y347" s="839"/>
      <c r="Z347" s="839"/>
    </row>
    <row r="348" spans="2:26" s="1239" customFormat="1" ht="19.899999999999999" customHeight="1">
      <c r="B348" s="839"/>
      <c r="C348" s="839"/>
      <c r="D348" s="839"/>
      <c r="E348" s="839"/>
      <c r="F348" s="839"/>
      <c r="G348" s="839"/>
      <c r="H348" s="839"/>
      <c r="I348" s="839"/>
      <c r="J348" s="839"/>
      <c r="K348" s="839"/>
      <c r="L348" s="839"/>
      <c r="M348" s="839"/>
      <c r="N348" s="345"/>
      <c r="O348" s="839"/>
      <c r="P348" s="839"/>
      <c r="Q348" s="839"/>
      <c r="R348" s="839"/>
      <c r="S348" s="839"/>
      <c r="T348" s="839"/>
      <c r="U348" s="839"/>
      <c r="V348" s="839"/>
      <c r="W348" s="839"/>
      <c r="X348" s="839"/>
      <c r="Y348" s="839"/>
      <c r="Z348" s="839"/>
    </row>
    <row r="349" spans="2:26" s="1239" customFormat="1" ht="19.899999999999999" customHeight="1">
      <c r="B349" s="839"/>
      <c r="C349" s="839"/>
      <c r="D349" s="839"/>
      <c r="E349" s="839"/>
      <c r="F349" s="839"/>
      <c r="G349" s="839"/>
      <c r="H349" s="839"/>
      <c r="I349" s="839"/>
      <c r="J349" s="839"/>
      <c r="K349" s="839"/>
      <c r="L349" s="839"/>
      <c r="M349" s="839"/>
      <c r="N349" s="345"/>
      <c r="O349" s="839"/>
      <c r="P349" s="839"/>
      <c r="Q349" s="839"/>
      <c r="R349" s="839"/>
      <c r="S349" s="839"/>
      <c r="T349" s="839"/>
      <c r="U349" s="839"/>
      <c r="V349" s="839"/>
      <c r="W349" s="839"/>
      <c r="X349" s="839"/>
      <c r="Y349" s="839"/>
      <c r="Z349" s="839"/>
    </row>
    <row r="350" spans="2:26" s="1239" customFormat="1" ht="19.899999999999999" customHeight="1">
      <c r="B350" s="839"/>
      <c r="C350" s="839"/>
      <c r="D350" s="839"/>
      <c r="E350" s="839"/>
      <c r="F350" s="839"/>
      <c r="G350" s="839"/>
      <c r="H350" s="839"/>
      <c r="I350" s="839"/>
      <c r="J350" s="839"/>
      <c r="K350" s="839"/>
      <c r="L350" s="839"/>
      <c r="M350" s="839"/>
      <c r="N350" s="345"/>
      <c r="O350" s="839"/>
      <c r="P350" s="839"/>
      <c r="Q350" s="839"/>
      <c r="R350" s="839"/>
      <c r="S350" s="839"/>
      <c r="T350" s="839"/>
      <c r="U350" s="839"/>
      <c r="V350" s="839"/>
      <c r="W350" s="839"/>
      <c r="X350" s="839"/>
      <c r="Y350" s="839"/>
      <c r="Z350" s="839"/>
    </row>
    <row r="351" spans="2:26" s="1239" customFormat="1" ht="19.899999999999999" customHeight="1">
      <c r="B351" s="839"/>
      <c r="C351" s="839"/>
      <c r="D351" s="839"/>
      <c r="E351" s="839"/>
      <c r="F351" s="839"/>
      <c r="G351" s="839"/>
      <c r="H351" s="839"/>
      <c r="I351" s="839"/>
      <c r="J351" s="839"/>
      <c r="K351" s="839"/>
      <c r="L351" s="839"/>
      <c r="M351" s="839"/>
      <c r="N351" s="345"/>
      <c r="O351" s="839"/>
      <c r="P351" s="839"/>
      <c r="Q351" s="839"/>
      <c r="R351" s="839"/>
      <c r="S351" s="839"/>
      <c r="T351" s="839"/>
      <c r="U351" s="839"/>
      <c r="V351" s="839"/>
      <c r="W351" s="839"/>
      <c r="X351" s="839"/>
      <c r="Y351" s="839"/>
      <c r="Z351" s="839"/>
    </row>
    <row r="352" spans="2:26" s="1239" customFormat="1" ht="19.899999999999999" customHeight="1">
      <c r="B352" s="839"/>
      <c r="C352" s="839"/>
      <c r="D352" s="839"/>
      <c r="E352" s="839"/>
      <c r="F352" s="839"/>
      <c r="G352" s="839"/>
      <c r="H352" s="839"/>
      <c r="I352" s="839"/>
      <c r="J352" s="839"/>
      <c r="K352" s="839"/>
      <c r="L352" s="839"/>
      <c r="M352" s="839"/>
      <c r="N352" s="345"/>
      <c r="O352" s="839"/>
      <c r="P352" s="839"/>
      <c r="Q352" s="839"/>
      <c r="R352" s="839"/>
      <c r="S352" s="839"/>
      <c r="T352" s="839"/>
      <c r="U352" s="839"/>
      <c r="V352" s="839"/>
      <c r="W352" s="839"/>
      <c r="X352" s="839"/>
      <c r="Y352" s="839"/>
      <c r="Z352" s="839"/>
    </row>
    <row r="353" spans="2:26" s="1239" customFormat="1" ht="19.899999999999999" customHeight="1">
      <c r="B353" s="839"/>
      <c r="C353" s="839"/>
      <c r="D353" s="839"/>
      <c r="E353" s="839"/>
      <c r="F353" s="839"/>
      <c r="G353" s="839"/>
      <c r="H353" s="839"/>
      <c r="I353" s="839"/>
      <c r="J353" s="839"/>
      <c r="K353" s="839"/>
      <c r="L353" s="839"/>
      <c r="M353" s="839"/>
      <c r="N353" s="345"/>
      <c r="O353" s="839"/>
      <c r="P353" s="839"/>
      <c r="Q353" s="839"/>
      <c r="R353" s="839"/>
      <c r="S353" s="839"/>
      <c r="T353" s="839"/>
      <c r="U353" s="839"/>
      <c r="V353" s="839"/>
      <c r="W353" s="839"/>
      <c r="X353" s="839"/>
      <c r="Y353" s="839"/>
      <c r="Z353" s="839"/>
    </row>
    <row r="354" spans="2:26" s="1239" customFormat="1" ht="19.899999999999999" customHeight="1">
      <c r="B354" s="839"/>
      <c r="C354" s="839"/>
      <c r="D354" s="839"/>
      <c r="E354" s="839"/>
      <c r="F354" s="839"/>
      <c r="G354" s="839"/>
      <c r="H354" s="839"/>
      <c r="I354" s="839"/>
      <c r="J354" s="839"/>
      <c r="K354" s="839"/>
      <c r="L354" s="839"/>
      <c r="M354" s="839"/>
      <c r="N354" s="345"/>
      <c r="O354" s="839"/>
      <c r="P354" s="839"/>
      <c r="Q354" s="839"/>
      <c r="R354" s="839"/>
      <c r="S354" s="839"/>
      <c r="T354" s="839"/>
      <c r="U354" s="839"/>
      <c r="V354" s="839"/>
      <c r="W354" s="839"/>
      <c r="X354" s="839"/>
      <c r="Y354" s="839"/>
      <c r="Z354" s="839"/>
    </row>
    <row r="355" spans="2:26" s="1239" customFormat="1" ht="19.899999999999999" customHeight="1">
      <c r="B355" s="839"/>
      <c r="C355" s="839"/>
      <c r="D355" s="839"/>
      <c r="E355" s="839"/>
      <c r="F355" s="839"/>
      <c r="G355" s="839"/>
      <c r="H355" s="839"/>
      <c r="I355" s="839"/>
      <c r="J355" s="839"/>
      <c r="K355" s="839"/>
      <c r="L355" s="839"/>
      <c r="M355" s="839"/>
      <c r="N355" s="345"/>
      <c r="O355" s="839"/>
      <c r="P355" s="839"/>
      <c r="Q355" s="839"/>
      <c r="R355" s="839"/>
      <c r="S355" s="839"/>
      <c r="T355" s="839"/>
      <c r="U355" s="839"/>
      <c r="V355" s="839"/>
      <c r="W355" s="839"/>
      <c r="X355" s="839"/>
      <c r="Y355" s="839"/>
      <c r="Z355" s="839"/>
    </row>
    <row r="356" spans="2:26" s="1239" customFormat="1" ht="19.899999999999999" customHeight="1">
      <c r="B356" s="839"/>
      <c r="C356" s="839"/>
      <c r="D356" s="839"/>
      <c r="E356" s="839"/>
      <c r="F356" s="839"/>
      <c r="G356" s="839"/>
      <c r="H356" s="839"/>
      <c r="I356" s="839"/>
      <c r="J356" s="839"/>
      <c r="K356" s="839"/>
      <c r="L356" s="839"/>
      <c r="M356" s="839"/>
      <c r="N356" s="345"/>
      <c r="O356" s="839"/>
      <c r="P356" s="839"/>
      <c r="Q356" s="839"/>
      <c r="R356" s="839"/>
      <c r="S356" s="839"/>
      <c r="T356" s="839"/>
      <c r="U356" s="839"/>
      <c r="V356" s="839"/>
      <c r="W356" s="839"/>
      <c r="X356" s="839"/>
      <c r="Y356" s="839"/>
      <c r="Z356" s="839"/>
    </row>
    <row r="357" spans="2:26" s="1239" customFormat="1" ht="19.899999999999999" customHeight="1">
      <c r="B357" s="839"/>
      <c r="C357" s="839"/>
      <c r="D357" s="839"/>
      <c r="E357" s="839"/>
      <c r="F357" s="839"/>
      <c r="G357" s="839"/>
      <c r="H357" s="839"/>
      <c r="I357" s="839"/>
      <c r="J357" s="839"/>
      <c r="K357" s="839"/>
      <c r="L357" s="839"/>
      <c r="M357" s="839"/>
      <c r="N357" s="345"/>
      <c r="O357" s="839"/>
      <c r="P357" s="839"/>
      <c r="Q357" s="839"/>
      <c r="R357" s="839"/>
      <c r="S357" s="839"/>
      <c r="T357" s="839"/>
      <c r="U357" s="839"/>
      <c r="V357" s="839"/>
      <c r="W357" s="839"/>
      <c r="X357" s="839"/>
      <c r="Y357" s="839"/>
      <c r="Z357" s="839"/>
    </row>
    <row r="358" spans="2:26" s="1239" customFormat="1" ht="19.899999999999999" customHeight="1">
      <c r="B358" s="839"/>
      <c r="C358" s="839"/>
      <c r="D358" s="839"/>
      <c r="E358" s="839"/>
      <c r="F358" s="839"/>
      <c r="G358" s="839"/>
      <c r="H358" s="839"/>
      <c r="I358" s="839"/>
      <c r="J358" s="839"/>
      <c r="K358" s="839"/>
      <c r="L358" s="839"/>
      <c r="M358" s="839"/>
      <c r="N358" s="345"/>
      <c r="O358" s="839"/>
      <c r="P358" s="839"/>
      <c r="Q358" s="839"/>
      <c r="R358" s="839"/>
      <c r="S358" s="839"/>
      <c r="T358" s="839"/>
      <c r="U358" s="839"/>
      <c r="V358" s="839"/>
      <c r="W358" s="839"/>
      <c r="X358" s="839"/>
      <c r="Y358" s="839"/>
      <c r="Z358" s="839"/>
    </row>
    <row r="359" spans="2:26" s="1239" customFormat="1" ht="19.899999999999999" customHeight="1">
      <c r="B359" s="839"/>
      <c r="C359" s="839"/>
      <c r="D359" s="839"/>
      <c r="E359" s="839"/>
      <c r="F359" s="839"/>
      <c r="G359" s="839"/>
      <c r="H359" s="839"/>
      <c r="I359" s="839"/>
      <c r="J359" s="839"/>
      <c r="K359" s="839"/>
      <c r="L359" s="839"/>
      <c r="M359" s="839"/>
      <c r="N359" s="345"/>
      <c r="O359" s="839"/>
      <c r="P359" s="839"/>
      <c r="Q359" s="839"/>
      <c r="R359" s="839"/>
      <c r="S359" s="839"/>
      <c r="T359" s="839"/>
      <c r="U359" s="839"/>
      <c r="V359" s="839"/>
      <c r="W359" s="839"/>
      <c r="X359" s="839"/>
      <c r="Y359" s="839"/>
      <c r="Z359" s="839"/>
    </row>
    <row r="360" spans="2:26" s="1239" customFormat="1" ht="19.899999999999999" customHeight="1">
      <c r="B360" s="839"/>
      <c r="C360" s="839"/>
      <c r="D360" s="839"/>
      <c r="E360" s="839"/>
      <c r="F360" s="839"/>
      <c r="G360" s="839"/>
      <c r="H360" s="839"/>
      <c r="I360" s="839"/>
      <c r="J360" s="839"/>
      <c r="K360" s="839"/>
      <c r="L360" s="839"/>
      <c r="M360" s="839"/>
      <c r="N360" s="345"/>
      <c r="O360" s="839"/>
      <c r="P360" s="839"/>
      <c r="Q360" s="839"/>
      <c r="R360" s="839"/>
      <c r="S360" s="839"/>
      <c r="T360" s="839"/>
      <c r="U360" s="839"/>
      <c r="V360" s="839"/>
      <c r="W360" s="839"/>
      <c r="X360" s="839"/>
      <c r="Y360" s="839"/>
      <c r="Z360" s="839"/>
    </row>
    <row r="361" spans="2:26" s="1239" customFormat="1" ht="19.899999999999999" customHeight="1">
      <c r="B361" s="839"/>
      <c r="C361" s="839"/>
      <c r="D361" s="839"/>
      <c r="E361" s="839"/>
      <c r="F361" s="839"/>
      <c r="G361" s="839"/>
      <c r="H361" s="839"/>
      <c r="I361" s="839"/>
      <c r="J361" s="839"/>
      <c r="K361" s="839"/>
      <c r="L361" s="839"/>
      <c r="M361" s="839"/>
      <c r="N361" s="345"/>
      <c r="O361" s="839"/>
      <c r="P361" s="839"/>
      <c r="Q361" s="839"/>
      <c r="R361" s="839"/>
      <c r="S361" s="839"/>
      <c r="T361" s="839"/>
      <c r="U361" s="839"/>
      <c r="V361" s="839"/>
      <c r="W361" s="839"/>
      <c r="X361" s="839"/>
      <c r="Y361" s="839"/>
      <c r="Z361" s="839"/>
    </row>
    <row r="362" spans="2:26" s="1239" customFormat="1" ht="19.899999999999999" customHeight="1">
      <c r="B362" s="839"/>
      <c r="C362" s="839"/>
      <c r="D362" s="839"/>
      <c r="E362" s="839"/>
      <c r="F362" s="839"/>
      <c r="G362" s="839"/>
      <c r="H362" s="839"/>
      <c r="I362" s="839"/>
      <c r="J362" s="839"/>
      <c r="K362" s="839"/>
      <c r="L362" s="839"/>
      <c r="M362" s="839"/>
      <c r="N362" s="345"/>
      <c r="O362" s="839"/>
      <c r="P362" s="839"/>
      <c r="Q362" s="839"/>
      <c r="R362" s="839"/>
      <c r="S362" s="839"/>
      <c r="T362" s="839"/>
      <c r="U362" s="839"/>
      <c r="V362" s="839"/>
      <c r="W362" s="839"/>
      <c r="X362" s="839"/>
      <c r="Y362" s="839"/>
      <c r="Z362" s="839"/>
    </row>
    <row r="363" spans="2:26" s="1239" customFormat="1" ht="19.899999999999999" customHeight="1">
      <c r="B363" s="839"/>
      <c r="C363" s="839"/>
      <c r="D363" s="839"/>
      <c r="E363" s="839"/>
      <c r="F363" s="839"/>
      <c r="G363" s="839"/>
      <c r="H363" s="839"/>
      <c r="I363" s="839"/>
      <c r="J363" s="839"/>
      <c r="K363" s="839"/>
      <c r="L363" s="839"/>
      <c r="M363" s="839"/>
      <c r="N363" s="345"/>
      <c r="O363" s="839"/>
      <c r="P363" s="839"/>
      <c r="Q363" s="839"/>
      <c r="R363" s="839"/>
      <c r="S363" s="839"/>
      <c r="T363" s="839"/>
      <c r="U363" s="839"/>
      <c r="V363" s="839"/>
      <c r="W363" s="839"/>
      <c r="X363" s="839"/>
      <c r="Y363" s="839"/>
      <c r="Z363" s="839"/>
    </row>
    <row r="364" spans="2:26" s="1239" customFormat="1" ht="19.899999999999999" customHeight="1">
      <c r="B364" s="839"/>
      <c r="C364" s="839"/>
      <c r="D364" s="839"/>
      <c r="E364" s="839"/>
      <c r="F364" s="839"/>
      <c r="G364" s="839"/>
      <c r="H364" s="839"/>
      <c r="I364" s="839"/>
      <c r="J364" s="839"/>
      <c r="K364" s="839"/>
      <c r="L364" s="839"/>
      <c r="M364" s="839"/>
      <c r="N364" s="345"/>
      <c r="O364" s="839"/>
      <c r="P364" s="839"/>
      <c r="Q364" s="839"/>
      <c r="R364" s="839"/>
      <c r="S364" s="839"/>
      <c r="T364" s="839"/>
      <c r="U364" s="839"/>
      <c r="V364" s="839"/>
      <c r="W364" s="839"/>
      <c r="X364" s="839"/>
      <c r="Y364" s="839"/>
      <c r="Z364" s="839"/>
    </row>
    <row r="365" spans="2:26" s="1239" customFormat="1" ht="19.899999999999999" customHeight="1">
      <c r="B365" s="839"/>
      <c r="C365" s="839"/>
      <c r="D365" s="839"/>
      <c r="E365" s="839"/>
      <c r="F365" s="839"/>
      <c r="G365" s="839"/>
      <c r="H365" s="839"/>
      <c r="I365" s="839"/>
      <c r="J365" s="839"/>
      <c r="K365" s="839"/>
      <c r="L365" s="839"/>
      <c r="M365" s="839"/>
      <c r="N365" s="345"/>
      <c r="O365" s="839"/>
      <c r="P365" s="839"/>
      <c r="Q365" s="839"/>
      <c r="R365" s="839"/>
      <c r="S365" s="839"/>
      <c r="T365" s="839"/>
      <c r="U365" s="839"/>
      <c r="V365" s="839"/>
      <c r="W365" s="839"/>
      <c r="X365" s="839"/>
      <c r="Y365" s="839"/>
      <c r="Z365" s="839"/>
    </row>
    <row r="366" spans="2:26" s="1239" customFormat="1" ht="19.899999999999999" customHeight="1">
      <c r="B366" s="839"/>
      <c r="C366" s="839"/>
      <c r="D366" s="839"/>
      <c r="E366" s="839"/>
      <c r="F366" s="839"/>
      <c r="G366" s="839"/>
      <c r="H366" s="839"/>
      <c r="I366" s="839"/>
      <c r="J366" s="839"/>
      <c r="K366" s="839"/>
      <c r="L366" s="839"/>
      <c r="M366" s="839"/>
      <c r="N366" s="345"/>
      <c r="O366" s="839"/>
      <c r="P366" s="839"/>
      <c r="Q366" s="839"/>
      <c r="R366" s="839"/>
      <c r="S366" s="839"/>
      <c r="T366" s="839"/>
      <c r="U366" s="839"/>
      <c r="V366" s="839"/>
      <c r="W366" s="839"/>
      <c r="X366" s="839"/>
      <c r="Y366" s="839"/>
      <c r="Z366" s="839"/>
    </row>
    <row r="367" spans="2:26" s="1239" customFormat="1" ht="19.899999999999999" customHeight="1">
      <c r="B367" s="839"/>
      <c r="C367" s="839"/>
      <c r="D367" s="839"/>
      <c r="E367" s="839"/>
      <c r="F367" s="839"/>
      <c r="G367" s="839"/>
      <c r="H367" s="839"/>
      <c r="I367" s="839"/>
      <c r="J367" s="839"/>
      <c r="K367" s="839"/>
      <c r="L367" s="839"/>
      <c r="M367" s="839"/>
      <c r="N367" s="345"/>
      <c r="O367" s="839"/>
      <c r="P367" s="839"/>
      <c r="Q367" s="839"/>
      <c r="R367" s="839"/>
      <c r="S367" s="839"/>
      <c r="T367" s="839"/>
      <c r="U367" s="839"/>
      <c r="V367" s="839"/>
      <c r="W367" s="839"/>
      <c r="X367" s="839"/>
      <c r="Y367" s="839"/>
      <c r="Z367" s="839"/>
    </row>
    <row r="368" spans="2:26" s="1239" customFormat="1" ht="19.899999999999999" customHeight="1">
      <c r="B368" s="839"/>
      <c r="C368" s="839"/>
      <c r="D368" s="839"/>
      <c r="E368" s="839"/>
      <c r="F368" s="839"/>
      <c r="G368" s="839"/>
      <c r="H368" s="839"/>
      <c r="I368" s="839"/>
      <c r="J368" s="839"/>
      <c r="K368" s="839"/>
      <c r="L368" s="839"/>
      <c r="M368" s="839"/>
      <c r="N368" s="345"/>
      <c r="O368" s="839"/>
      <c r="P368" s="839"/>
      <c r="Q368" s="839"/>
      <c r="R368" s="839"/>
      <c r="S368" s="839"/>
      <c r="T368" s="839"/>
      <c r="U368" s="839"/>
      <c r="V368" s="839"/>
      <c r="W368" s="839"/>
      <c r="X368" s="839"/>
      <c r="Y368" s="839"/>
      <c r="Z368" s="839"/>
    </row>
    <row r="369" spans="2:26" s="1239" customFormat="1" ht="19.899999999999999" customHeight="1">
      <c r="B369" s="839"/>
      <c r="C369" s="839"/>
      <c r="D369" s="839"/>
      <c r="E369" s="839"/>
      <c r="F369" s="839"/>
      <c r="G369" s="839"/>
      <c r="H369" s="839"/>
      <c r="I369" s="839"/>
      <c r="J369" s="839"/>
      <c r="K369" s="839"/>
      <c r="L369" s="839"/>
      <c r="M369" s="839"/>
      <c r="N369" s="345"/>
      <c r="O369" s="839"/>
      <c r="P369" s="839"/>
      <c r="Q369" s="839"/>
      <c r="R369" s="839"/>
      <c r="S369" s="839"/>
      <c r="T369" s="839"/>
      <c r="U369" s="839"/>
      <c r="V369" s="839"/>
      <c r="W369" s="839"/>
      <c r="X369" s="839"/>
      <c r="Y369" s="839"/>
      <c r="Z369" s="839"/>
    </row>
    <row r="370" spans="2:26" s="1239" customFormat="1" ht="19.899999999999999" customHeight="1">
      <c r="B370" s="839"/>
      <c r="C370" s="839"/>
      <c r="D370" s="839"/>
      <c r="E370" s="839"/>
      <c r="F370" s="839"/>
      <c r="G370" s="839"/>
      <c r="H370" s="839"/>
      <c r="I370" s="839"/>
      <c r="J370" s="839"/>
      <c r="K370" s="839"/>
      <c r="L370" s="839"/>
      <c r="M370" s="839"/>
      <c r="N370" s="345"/>
      <c r="O370" s="839"/>
      <c r="P370" s="839"/>
      <c r="Q370" s="839"/>
      <c r="R370" s="839"/>
      <c r="S370" s="839"/>
      <c r="T370" s="839"/>
      <c r="U370" s="839"/>
      <c r="V370" s="839"/>
      <c r="W370" s="839"/>
      <c r="X370" s="839"/>
      <c r="Y370" s="839"/>
      <c r="Z370" s="839"/>
    </row>
    <row r="371" spans="2:26" s="1239" customFormat="1" ht="19.899999999999999" customHeight="1">
      <c r="B371" s="839"/>
      <c r="C371" s="839"/>
      <c r="D371" s="839"/>
      <c r="E371" s="839"/>
      <c r="F371" s="839"/>
      <c r="G371" s="839"/>
      <c r="H371" s="839"/>
      <c r="I371" s="839"/>
      <c r="J371" s="839"/>
      <c r="K371" s="839"/>
      <c r="L371" s="839"/>
      <c r="M371" s="839"/>
      <c r="N371" s="345"/>
      <c r="O371" s="839"/>
      <c r="P371" s="839"/>
      <c r="Q371" s="839"/>
      <c r="R371" s="839"/>
      <c r="S371" s="839"/>
      <c r="T371" s="839"/>
      <c r="U371" s="839"/>
      <c r="V371" s="839"/>
      <c r="W371" s="839"/>
      <c r="X371" s="839"/>
      <c r="Y371" s="839"/>
      <c r="Z371" s="839"/>
    </row>
    <row r="372" spans="2:26" s="1239" customFormat="1" ht="19.899999999999999" customHeight="1">
      <c r="B372" s="839"/>
      <c r="C372" s="839"/>
      <c r="D372" s="839"/>
      <c r="E372" s="839"/>
      <c r="F372" s="839"/>
      <c r="G372" s="839"/>
      <c r="H372" s="839"/>
      <c r="I372" s="839"/>
      <c r="J372" s="839"/>
      <c r="K372" s="839"/>
      <c r="L372" s="839"/>
      <c r="M372" s="839"/>
      <c r="N372" s="345"/>
      <c r="O372" s="839"/>
      <c r="P372" s="839"/>
      <c r="Q372" s="839"/>
      <c r="R372" s="839"/>
      <c r="S372" s="839"/>
      <c r="T372" s="839"/>
      <c r="U372" s="839"/>
      <c r="V372" s="839"/>
      <c r="W372" s="839"/>
      <c r="X372" s="839"/>
      <c r="Y372" s="839"/>
      <c r="Z372" s="839"/>
    </row>
    <row r="373" spans="2:26" s="1239" customFormat="1" ht="19.899999999999999" customHeight="1">
      <c r="B373" s="839"/>
      <c r="C373" s="839"/>
      <c r="D373" s="839"/>
      <c r="E373" s="839"/>
      <c r="F373" s="839"/>
      <c r="G373" s="839"/>
      <c r="H373" s="839"/>
      <c r="I373" s="839"/>
      <c r="J373" s="839"/>
      <c r="K373" s="839"/>
      <c r="L373" s="839"/>
      <c r="M373" s="839"/>
      <c r="N373" s="345"/>
      <c r="O373" s="839"/>
      <c r="P373" s="839"/>
      <c r="Q373" s="839"/>
      <c r="R373" s="839"/>
      <c r="S373" s="839"/>
      <c r="T373" s="839"/>
      <c r="U373" s="839"/>
      <c r="V373" s="839"/>
      <c r="W373" s="839"/>
      <c r="X373" s="839"/>
      <c r="Y373" s="839"/>
      <c r="Z373" s="839"/>
    </row>
    <row r="374" spans="2:26" s="1239" customFormat="1" ht="19.899999999999999" customHeight="1">
      <c r="B374" s="839"/>
      <c r="C374" s="839"/>
      <c r="D374" s="839"/>
      <c r="E374" s="839"/>
      <c r="F374" s="839"/>
      <c r="G374" s="839"/>
      <c r="H374" s="839"/>
      <c r="I374" s="839"/>
      <c r="J374" s="839"/>
      <c r="K374" s="839"/>
      <c r="L374" s="839"/>
      <c r="M374" s="839"/>
      <c r="N374" s="345"/>
      <c r="O374" s="839"/>
      <c r="P374" s="839"/>
      <c r="Q374" s="839"/>
      <c r="R374" s="839"/>
      <c r="S374" s="839"/>
      <c r="T374" s="839"/>
      <c r="U374" s="839"/>
      <c r="V374" s="839"/>
      <c r="W374" s="839"/>
      <c r="X374" s="839"/>
      <c r="Y374" s="839"/>
      <c r="Z374" s="839"/>
    </row>
    <row r="375" spans="2:26" s="1239" customFormat="1" ht="19.899999999999999" customHeight="1">
      <c r="B375" s="839"/>
      <c r="C375" s="839"/>
      <c r="D375" s="839"/>
      <c r="E375" s="839"/>
      <c r="F375" s="839"/>
      <c r="G375" s="839"/>
      <c r="H375" s="839"/>
      <c r="I375" s="839"/>
      <c r="J375" s="839"/>
      <c r="K375" s="839"/>
      <c r="L375" s="839"/>
      <c r="M375" s="839"/>
      <c r="N375" s="345"/>
      <c r="O375" s="839"/>
      <c r="P375" s="839"/>
      <c r="Q375" s="839"/>
      <c r="R375" s="839"/>
      <c r="S375" s="839"/>
      <c r="T375" s="839"/>
      <c r="U375" s="839"/>
      <c r="V375" s="839"/>
      <c r="W375" s="839"/>
      <c r="X375" s="839"/>
      <c r="Y375" s="839"/>
      <c r="Z375" s="839"/>
    </row>
    <row r="376" spans="2:26" s="1239" customFormat="1" ht="19.899999999999999" customHeight="1">
      <c r="B376" s="839"/>
      <c r="C376" s="839"/>
      <c r="D376" s="839"/>
      <c r="E376" s="839"/>
      <c r="F376" s="839"/>
      <c r="G376" s="839"/>
      <c r="H376" s="839"/>
      <c r="I376" s="839"/>
      <c r="J376" s="839"/>
      <c r="K376" s="839"/>
      <c r="L376" s="839"/>
      <c r="M376" s="839"/>
      <c r="N376" s="345"/>
      <c r="O376" s="839"/>
      <c r="P376" s="839"/>
      <c r="Q376" s="839"/>
      <c r="R376" s="839"/>
      <c r="S376" s="839"/>
      <c r="T376" s="839"/>
      <c r="U376" s="839"/>
      <c r="V376" s="839"/>
      <c r="W376" s="839"/>
      <c r="X376" s="839"/>
      <c r="Y376" s="839"/>
      <c r="Z376" s="839"/>
    </row>
    <row r="377" spans="2:26" s="1239" customFormat="1" ht="19.899999999999999" customHeight="1">
      <c r="B377" s="839"/>
      <c r="C377" s="839"/>
      <c r="D377" s="839"/>
      <c r="E377" s="839"/>
      <c r="F377" s="839"/>
      <c r="G377" s="839"/>
      <c r="H377" s="839"/>
      <c r="I377" s="839"/>
      <c r="J377" s="839"/>
      <c r="K377" s="839"/>
      <c r="L377" s="839"/>
      <c r="M377" s="839"/>
      <c r="N377" s="345"/>
      <c r="O377" s="839"/>
      <c r="P377" s="839"/>
      <c r="Q377" s="839"/>
      <c r="R377" s="839"/>
      <c r="S377" s="839"/>
      <c r="T377" s="839"/>
      <c r="U377" s="839"/>
      <c r="V377" s="839"/>
      <c r="W377" s="839"/>
      <c r="X377" s="839"/>
      <c r="Y377" s="839"/>
      <c r="Z377" s="839"/>
    </row>
    <row r="378" spans="2:26" s="1239" customFormat="1" ht="19.899999999999999" customHeight="1">
      <c r="B378" s="839"/>
      <c r="C378" s="839"/>
      <c r="D378" s="839"/>
      <c r="E378" s="839"/>
      <c r="F378" s="839"/>
      <c r="G378" s="839"/>
      <c r="H378" s="839"/>
      <c r="I378" s="839"/>
      <c r="J378" s="839"/>
      <c r="K378" s="839"/>
      <c r="L378" s="839"/>
      <c r="M378" s="839"/>
      <c r="N378" s="345"/>
      <c r="O378" s="839"/>
      <c r="P378" s="839"/>
      <c r="Q378" s="839"/>
      <c r="R378" s="839"/>
      <c r="S378" s="839"/>
      <c r="T378" s="839"/>
      <c r="U378" s="839"/>
      <c r="V378" s="839"/>
      <c r="W378" s="839"/>
      <c r="X378" s="839"/>
      <c r="Y378" s="839"/>
      <c r="Z378" s="839"/>
    </row>
    <row r="379" spans="2:26" s="1239" customFormat="1" ht="19.899999999999999" customHeight="1">
      <c r="B379" s="839"/>
      <c r="C379" s="839"/>
      <c r="D379" s="839"/>
      <c r="E379" s="839"/>
      <c r="F379" s="839"/>
      <c r="G379" s="839"/>
      <c r="H379" s="839"/>
      <c r="I379" s="839"/>
      <c r="J379" s="839"/>
      <c r="K379" s="839"/>
      <c r="L379" s="839"/>
      <c r="M379" s="839"/>
      <c r="N379" s="345"/>
      <c r="O379" s="839"/>
      <c r="P379" s="839"/>
      <c r="Q379" s="839"/>
      <c r="R379" s="839"/>
      <c r="S379" s="839"/>
      <c r="T379" s="839"/>
      <c r="U379" s="839"/>
      <c r="V379" s="839"/>
      <c r="W379" s="839"/>
      <c r="X379" s="839"/>
      <c r="Y379" s="839"/>
      <c r="Z379" s="839"/>
    </row>
    <row r="380" spans="2:26" s="1239" customFormat="1" ht="19.899999999999999" customHeight="1">
      <c r="B380" s="839"/>
      <c r="C380" s="839"/>
      <c r="D380" s="839"/>
      <c r="E380" s="839"/>
      <c r="F380" s="839"/>
      <c r="G380" s="839"/>
      <c r="H380" s="839"/>
      <c r="I380" s="839"/>
      <c r="J380" s="839"/>
      <c r="K380" s="839"/>
      <c r="L380" s="839"/>
      <c r="M380" s="839"/>
      <c r="N380" s="345"/>
      <c r="O380" s="839"/>
      <c r="P380" s="839"/>
      <c r="Q380" s="839"/>
      <c r="R380" s="839"/>
      <c r="S380" s="839"/>
      <c r="T380" s="839"/>
      <c r="U380" s="839"/>
      <c r="V380" s="839"/>
      <c r="W380" s="839"/>
      <c r="X380" s="839"/>
      <c r="Y380" s="839"/>
      <c r="Z380" s="839"/>
    </row>
    <row r="381" spans="2:26" s="1239" customFormat="1" ht="19.899999999999999" customHeight="1">
      <c r="B381" s="839"/>
      <c r="C381" s="839"/>
      <c r="D381" s="839"/>
      <c r="E381" s="839"/>
      <c r="F381" s="839"/>
      <c r="G381" s="839"/>
      <c r="H381" s="839"/>
      <c r="I381" s="839"/>
      <c r="J381" s="839"/>
      <c r="K381" s="839"/>
      <c r="L381" s="839"/>
      <c r="M381" s="839"/>
      <c r="N381" s="345"/>
      <c r="O381" s="839"/>
      <c r="P381" s="839"/>
      <c r="Q381" s="839"/>
      <c r="R381" s="839"/>
      <c r="S381" s="839"/>
      <c r="T381" s="839"/>
      <c r="U381" s="839"/>
      <c r="V381" s="839"/>
      <c r="W381" s="839"/>
      <c r="X381" s="839"/>
      <c r="Y381" s="839"/>
      <c r="Z381" s="839"/>
    </row>
    <row r="382" spans="2:26" s="1239" customFormat="1" ht="19.899999999999999" customHeight="1">
      <c r="B382" s="839"/>
      <c r="C382" s="839"/>
      <c r="D382" s="839"/>
      <c r="E382" s="839"/>
      <c r="F382" s="839"/>
      <c r="G382" s="839"/>
      <c r="H382" s="839"/>
      <c r="I382" s="839"/>
      <c r="J382" s="839"/>
      <c r="K382" s="839"/>
      <c r="L382" s="839"/>
      <c r="M382" s="839"/>
      <c r="N382" s="345"/>
      <c r="O382" s="839"/>
      <c r="P382" s="839"/>
      <c r="Q382" s="839"/>
      <c r="R382" s="839"/>
      <c r="S382" s="839"/>
      <c r="T382" s="839"/>
      <c r="U382" s="839"/>
      <c r="V382" s="839"/>
      <c r="W382" s="839"/>
      <c r="X382" s="839"/>
      <c r="Y382" s="839"/>
      <c r="Z382" s="839"/>
    </row>
    <row r="383" spans="2:26" s="1239" customFormat="1" ht="19.899999999999999" customHeight="1">
      <c r="B383" s="839"/>
      <c r="C383" s="839"/>
      <c r="D383" s="839"/>
      <c r="E383" s="839"/>
      <c r="F383" s="839"/>
      <c r="G383" s="839"/>
      <c r="H383" s="839"/>
      <c r="I383" s="839"/>
      <c r="J383" s="839"/>
      <c r="K383" s="839"/>
      <c r="L383" s="839"/>
      <c r="M383" s="839"/>
      <c r="N383" s="345"/>
      <c r="O383" s="839"/>
      <c r="P383" s="839"/>
      <c r="Q383" s="839"/>
      <c r="R383" s="839"/>
      <c r="S383" s="839"/>
      <c r="T383" s="839"/>
      <c r="U383" s="839"/>
      <c r="V383" s="839"/>
      <c r="W383" s="839"/>
      <c r="X383" s="839"/>
      <c r="Y383" s="839"/>
      <c r="Z383" s="839"/>
    </row>
    <row r="384" spans="2:26" s="1239" customFormat="1" ht="19.899999999999999" customHeight="1">
      <c r="B384" s="839"/>
      <c r="C384" s="839"/>
      <c r="D384" s="839"/>
      <c r="E384" s="839"/>
      <c r="F384" s="839"/>
      <c r="G384" s="839"/>
      <c r="H384" s="839"/>
      <c r="I384" s="839"/>
      <c r="J384" s="839"/>
      <c r="K384" s="839"/>
      <c r="L384" s="839"/>
      <c r="M384" s="839"/>
      <c r="N384" s="345"/>
      <c r="O384" s="839"/>
      <c r="P384" s="839"/>
      <c r="Q384" s="839"/>
      <c r="R384" s="839"/>
      <c r="S384" s="839"/>
      <c r="T384" s="839"/>
      <c r="U384" s="839"/>
      <c r="V384" s="839"/>
      <c r="W384" s="839"/>
      <c r="X384" s="839"/>
      <c r="Y384" s="839"/>
      <c r="Z384" s="839"/>
    </row>
    <row r="385" spans="2:26" s="1239" customFormat="1" ht="19.899999999999999" customHeight="1">
      <c r="B385" s="839"/>
      <c r="C385" s="839"/>
      <c r="D385" s="839"/>
      <c r="E385" s="839"/>
      <c r="F385" s="839"/>
      <c r="G385" s="839"/>
      <c r="H385" s="839"/>
      <c r="I385" s="839"/>
      <c r="J385" s="839"/>
      <c r="K385" s="839"/>
      <c r="L385" s="839"/>
      <c r="M385" s="839"/>
      <c r="N385" s="345"/>
      <c r="O385" s="839"/>
      <c r="P385" s="839"/>
      <c r="Q385" s="839"/>
      <c r="R385" s="839"/>
      <c r="S385" s="839"/>
      <c r="T385" s="839"/>
      <c r="U385" s="839"/>
      <c r="V385" s="839"/>
      <c r="W385" s="839"/>
      <c r="X385" s="839"/>
      <c r="Y385" s="839"/>
      <c r="Z385" s="839"/>
    </row>
    <row r="386" spans="2:26" s="1239" customFormat="1" ht="19.899999999999999" customHeight="1">
      <c r="B386" s="839"/>
      <c r="C386" s="839"/>
      <c r="D386" s="839"/>
      <c r="E386" s="839"/>
      <c r="F386" s="839"/>
      <c r="G386" s="839"/>
      <c r="H386" s="839"/>
      <c r="I386" s="839"/>
      <c r="J386" s="839"/>
      <c r="K386" s="839"/>
      <c r="L386" s="839"/>
      <c r="M386" s="839"/>
      <c r="N386" s="345"/>
      <c r="O386" s="839"/>
      <c r="P386" s="839"/>
      <c r="Q386" s="839"/>
      <c r="R386" s="839"/>
      <c r="S386" s="839"/>
      <c r="T386" s="839"/>
      <c r="U386" s="839"/>
      <c r="V386" s="839"/>
      <c r="W386" s="839"/>
      <c r="X386" s="839"/>
      <c r="Y386" s="839"/>
      <c r="Z386" s="839"/>
    </row>
    <row r="387" spans="2:26" s="1239" customFormat="1" ht="19.899999999999999" customHeight="1">
      <c r="B387" s="839"/>
      <c r="C387" s="839"/>
      <c r="D387" s="839"/>
      <c r="E387" s="839"/>
      <c r="F387" s="839"/>
      <c r="G387" s="839"/>
      <c r="H387" s="839"/>
      <c r="I387" s="839"/>
      <c r="J387" s="839"/>
      <c r="K387" s="839"/>
      <c r="L387" s="839"/>
      <c r="M387" s="839"/>
      <c r="N387" s="345"/>
      <c r="O387" s="839"/>
      <c r="P387" s="839"/>
      <c r="Q387" s="839"/>
      <c r="R387" s="839"/>
      <c r="S387" s="839"/>
      <c r="T387" s="839"/>
      <c r="U387" s="839"/>
      <c r="V387" s="839"/>
      <c r="W387" s="839"/>
      <c r="X387" s="839"/>
      <c r="Y387" s="839"/>
      <c r="Z387" s="839"/>
    </row>
    <row r="388" spans="2:26" s="1239" customFormat="1" ht="19.899999999999999" customHeight="1">
      <c r="B388" s="839"/>
      <c r="C388" s="839"/>
      <c r="D388" s="839"/>
      <c r="E388" s="839"/>
      <c r="F388" s="839"/>
      <c r="G388" s="839"/>
      <c r="H388" s="839"/>
      <c r="I388" s="839"/>
      <c r="J388" s="839"/>
      <c r="K388" s="839"/>
      <c r="L388" s="839"/>
      <c r="M388" s="839"/>
      <c r="N388" s="345"/>
      <c r="O388" s="839"/>
      <c r="P388" s="839"/>
      <c r="Q388" s="839"/>
      <c r="R388" s="839"/>
      <c r="S388" s="839"/>
      <c r="T388" s="839"/>
      <c r="U388" s="839"/>
      <c r="V388" s="839"/>
      <c r="W388" s="839"/>
      <c r="X388" s="839"/>
      <c r="Y388" s="839"/>
      <c r="Z388" s="839"/>
    </row>
    <row r="389" spans="2:26" s="1239" customFormat="1" ht="19.899999999999999" customHeight="1">
      <c r="B389" s="839"/>
      <c r="C389" s="839"/>
      <c r="D389" s="839"/>
      <c r="E389" s="839"/>
      <c r="F389" s="839"/>
      <c r="G389" s="839"/>
      <c r="H389" s="839"/>
      <c r="I389" s="839"/>
      <c r="J389" s="839"/>
      <c r="K389" s="839"/>
      <c r="L389" s="839"/>
      <c r="M389" s="839"/>
      <c r="N389" s="345"/>
      <c r="O389" s="839"/>
      <c r="P389" s="839"/>
      <c r="Q389" s="839"/>
      <c r="R389" s="839"/>
      <c r="S389" s="839"/>
      <c r="T389" s="839"/>
      <c r="U389" s="839"/>
      <c r="V389" s="839"/>
      <c r="W389" s="839"/>
      <c r="X389" s="839"/>
      <c r="Y389" s="839"/>
      <c r="Z389" s="839"/>
    </row>
    <row r="390" spans="2:26" s="1239" customFormat="1" ht="19.899999999999999" customHeight="1">
      <c r="B390" s="839"/>
      <c r="C390" s="839"/>
      <c r="D390" s="839"/>
      <c r="E390" s="839"/>
      <c r="F390" s="839"/>
      <c r="G390" s="839"/>
      <c r="H390" s="839"/>
      <c r="I390" s="839"/>
      <c r="J390" s="839"/>
      <c r="K390" s="839"/>
      <c r="L390" s="839"/>
      <c r="M390" s="839"/>
      <c r="N390" s="345"/>
      <c r="O390" s="839"/>
      <c r="P390" s="839"/>
      <c r="Q390" s="839"/>
      <c r="R390" s="839"/>
      <c r="S390" s="839"/>
      <c r="T390" s="839"/>
      <c r="U390" s="839"/>
      <c r="V390" s="839"/>
      <c r="W390" s="839"/>
      <c r="X390" s="839"/>
      <c r="Y390" s="839"/>
      <c r="Z390" s="839"/>
    </row>
    <row r="391" spans="2:26" s="1239" customFormat="1" ht="19.899999999999999" customHeight="1">
      <c r="B391" s="839"/>
      <c r="C391" s="839"/>
      <c r="D391" s="839"/>
      <c r="E391" s="839"/>
      <c r="F391" s="839"/>
      <c r="G391" s="839"/>
      <c r="H391" s="839"/>
      <c r="I391" s="839"/>
      <c r="J391" s="839"/>
      <c r="K391" s="839"/>
      <c r="L391" s="839"/>
      <c r="M391" s="839"/>
      <c r="N391" s="345"/>
      <c r="O391" s="839"/>
      <c r="P391" s="839"/>
      <c r="Q391" s="839"/>
      <c r="R391" s="839"/>
      <c r="S391" s="839"/>
      <c r="T391" s="839"/>
      <c r="U391" s="839"/>
      <c r="V391" s="839"/>
      <c r="W391" s="839"/>
      <c r="X391" s="839"/>
      <c r="Y391" s="839"/>
      <c r="Z391" s="839"/>
    </row>
    <row r="392" spans="2:26" s="1239" customFormat="1" ht="19.899999999999999" customHeight="1">
      <c r="B392" s="839"/>
      <c r="C392" s="839"/>
      <c r="D392" s="839"/>
      <c r="E392" s="839"/>
      <c r="F392" s="839"/>
      <c r="G392" s="839"/>
      <c r="H392" s="839"/>
      <c r="I392" s="839"/>
      <c r="J392" s="839"/>
      <c r="K392" s="839"/>
      <c r="L392" s="839"/>
      <c r="M392" s="839"/>
      <c r="N392" s="345"/>
      <c r="O392" s="839"/>
      <c r="P392" s="839"/>
      <c r="Q392" s="839"/>
      <c r="R392" s="839"/>
      <c r="S392" s="839"/>
      <c r="T392" s="839"/>
      <c r="U392" s="839"/>
      <c r="V392" s="839"/>
      <c r="W392" s="839"/>
      <c r="X392" s="839"/>
      <c r="Y392" s="839"/>
      <c r="Z392" s="839"/>
    </row>
    <row r="393" spans="2:26" s="1239" customFormat="1" ht="19.899999999999999" customHeight="1">
      <c r="B393" s="839"/>
      <c r="C393" s="839"/>
      <c r="D393" s="839"/>
      <c r="E393" s="839"/>
      <c r="F393" s="839"/>
      <c r="G393" s="839"/>
      <c r="H393" s="839"/>
      <c r="I393" s="839"/>
      <c r="J393" s="839"/>
      <c r="K393" s="839"/>
      <c r="L393" s="839"/>
      <c r="M393" s="839"/>
      <c r="N393" s="345"/>
      <c r="O393" s="839"/>
      <c r="P393" s="839"/>
      <c r="Q393" s="839"/>
      <c r="R393" s="839"/>
      <c r="S393" s="839"/>
      <c r="T393" s="839"/>
      <c r="U393" s="839"/>
      <c r="V393" s="839"/>
      <c r="W393" s="839"/>
      <c r="X393" s="839"/>
      <c r="Y393" s="839"/>
      <c r="Z393" s="839"/>
    </row>
    <row r="394" spans="2:26" s="1239" customFormat="1" ht="19.899999999999999" customHeight="1">
      <c r="B394" s="839"/>
      <c r="C394" s="839"/>
      <c r="D394" s="839"/>
      <c r="E394" s="839"/>
      <c r="F394" s="839"/>
      <c r="G394" s="839"/>
      <c r="H394" s="839"/>
      <c r="I394" s="839"/>
      <c r="J394" s="839"/>
      <c r="K394" s="839"/>
      <c r="L394" s="839"/>
      <c r="M394" s="839"/>
      <c r="N394" s="345"/>
      <c r="O394" s="839"/>
      <c r="P394" s="839"/>
      <c r="Q394" s="839"/>
      <c r="R394" s="839"/>
      <c r="S394" s="839"/>
      <c r="T394" s="839"/>
      <c r="U394" s="839"/>
      <c r="V394" s="839"/>
      <c r="W394" s="839"/>
      <c r="X394" s="839"/>
      <c r="Y394" s="839"/>
      <c r="Z394" s="839"/>
    </row>
    <row r="395" spans="2:26" s="1239" customFormat="1" ht="19.899999999999999" customHeight="1">
      <c r="B395" s="839"/>
      <c r="C395" s="839"/>
      <c r="D395" s="839"/>
      <c r="E395" s="839"/>
      <c r="F395" s="839"/>
      <c r="G395" s="839"/>
      <c r="H395" s="839"/>
      <c r="I395" s="839"/>
      <c r="J395" s="839"/>
      <c r="K395" s="839"/>
      <c r="L395" s="839"/>
      <c r="M395" s="839"/>
      <c r="N395" s="345"/>
      <c r="O395" s="839"/>
      <c r="P395" s="839"/>
      <c r="Q395" s="839"/>
      <c r="R395" s="839"/>
      <c r="S395" s="839"/>
      <c r="T395" s="839"/>
      <c r="U395" s="839"/>
      <c r="V395" s="839"/>
      <c r="W395" s="839"/>
      <c r="X395" s="839"/>
      <c r="Y395" s="839"/>
      <c r="Z395" s="839"/>
    </row>
    <row r="396" spans="2:26" s="1239" customFormat="1" ht="19.899999999999999" customHeight="1">
      <c r="B396" s="839"/>
      <c r="C396" s="839"/>
      <c r="D396" s="839"/>
      <c r="E396" s="839"/>
      <c r="F396" s="839"/>
      <c r="G396" s="839"/>
      <c r="H396" s="839"/>
      <c r="I396" s="839"/>
      <c r="J396" s="839"/>
      <c r="K396" s="839"/>
      <c r="L396" s="839"/>
      <c r="M396" s="839"/>
      <c r="N396" s="345"/>
      <c r="O396" s="839"/>
      <c r="P396" s="839"/>
      <c r="Q396" s="839"/>
      <c r="R396" s="839"/>
      <c r="S396" s="839"/>
      <c r="T396" s="839"/>
      <c r="U396" s="839"/>
      <c r="V396" s="839"/>
      <c r="W396" s="839"/>
      <c r="X396" s="839"/>
      <c r="Y396" s="839"/>
      <c r="Z396" s="839"/>
    </row>
    <row r="397" spans="2:26" s="1239" customFormat="1" ht="19.899999999999999" customHeight="1">
      <c r="B397" s="839"/>
      <c r="C397" s="839"/>
      <c r="D397" s="839"/>
      <c r="E397" s="839"/>
      <c r="F397" s="839"/>
      <c r="G397" s="839"/>
      <c r="H397" s="839"/>
      <c r="I397" s="839"/>
      <c r="J397" s="839"/>
      <c r="K397" s="839"/>
      <c r="L397" s="839"/>
      <c r="M397" s="839"/>
      <c r="N397" s="345"/>
      <c r="O397" s="839"/>
      <c r="P397" s="839"/>
      <c r="Q397" s="839"/>
      <c r="R397" s="839"/>
      <c r="S397" s="839"/>
      <c r="T397" s="839"/>
      <c r="U397" s="839"/>
      <c r="V397" s="839"/>
      <c r="W397" s="839"/>
      <c r="X397" s="839"/>
      <c r="Y397" s="839"/>
      <c r="Z397" s="839"/>
    </row>
    <row r="398" spans="2:26" s="1239" customFormat="1" ht="19.899999999999999" customHeight="1">
      <c r="B398" s="839"/>
      <c r="C398" s="839"/>
      <c r="D398" s="839"/>
      <c r="E398" s="839"/>
      <c r="F398" s="839"/>
      <c r="G398" s="839"/>
      <c r="H398" s="839"/>
      <c r="I398" s="839"/>
      <c r="J398" s="839"/>
      <c r="K398" s="839"/>
      <c r="L398" s="839"/>
      <c r="M398" s="839"/>
      <c r="N398" s="345"/>
      <c r="O398" s="839"/>
      <c r="P398" s="839"/>
      <c r="Q398" s="839"/>
      <c r="R398" s="839"/>
      <c r="S398" s="839"/>
      <c r="T398" s="839"/>
      <c r="U398" s="839"/>
      <c r="V398" s="839"/>
      <c r="W398" s="839"/>
      <c r="X398" s="839"/>
      <c r="Y398" s="839"/>
      <c r="Z398" s="839"/>
    </row>
    <row r="399" spans="2:26" s="1239" customFormat="1" ht="19.899999999999999" customHeight="1">
      <c r="B399" s="839"/>
      <c r="C399" s="839"/>
      <c r="D399" s="839"/>
      <c r="E399" s="839"/>
      <c r="F399" s="839"/>
      <c r="G399" s="839"/>
      <c r="H399" s="839"/>
      <c r="I399" s="839"/>
      <c r="J399" s="839"/>
      <c r="K399" s="839"/>
      <c r="L399" s="839"/>
      <c r="M399" s="839"/>
      <c r="N399" s="345"/>
      <c r="O399" s="839"/>
      <c r="P399" s="839"/>
      <c r="Q399" s="839"/>
      <c r="R399" s="839"/>
      <c r="S399" s="839"/>
      <c r="T399" s="839"/>
      <c r="U399" s="839"/>
      <c r="V399" s="839"/>
      <c r="W399" s="839"/>
      <c r="X399" s="839"/>
      <c r="Y399" s="839"/>
      <c r="Z399" s="839"/>
    </row>
    <row r="400" spans="2:26" s="1239" customFormat="1" ht="19.899999999999999" customHeight="1">
      <c r="B400" s="839"/>
      <c r="C400" s="839"/>
      <c r="D400" s="839"/>
      <c r="E400" s="839"/>
      <c r="F400" s="839"/>
      <c r="G400" s="839"/>
      <c r="H400" s="839"/>
      <c r="I400" s="839"/>
      <c r="J400" s="839"/>
      <c r="K400" s="839"/>
      <c r="L400" s="839"/>
      <c r="M400" s="839"/>
      <c r="N400" s="345"/>
      <c r="O400" s="839"/>
      <c r="P400" s="839"/>
      <c r="Q400" s="839"/>
      <c r="R400" s="839"/>
      <c r="S400" s="839"/>
      <c r="T400" s="839"/>
      <c r="U400" s="839"/>
      <c r="V400" s="839"/>
      <c r="W400" s="839"/>
      <c r="X400" s="839"/>
      <c r="Y400" s="839"/>
      <c r="Z400" s="839"/>
    </row>
    <row r="401" spans="2:26" s="1239" customFormat="1" ht="19.899999999999999" customHeight="1">
      <c r="B401" s="839"/>
      <c r="C401" s="839"/>
      <c r="D401" s="839"/>
      <c r="E401" s="839"/>
      <c r="F401" s="839"/>
      <c r="G401" s="839"/>
      <c r="H401" s="839"/>
      <c r="I401" s="839"/>
      <c r="J401" s="839"/>
      <c r="K401" s="839"/>
      <c r="L401" s="839"/>
      <c r="M401" s="839"/>
      <c r="N401" s="345"/>
      <c r="O401" s="839"/>
      <c r="P401" s="839"/>
      <c r="Q401" s="839"/>
      <c r="R401" s="839"/>
      <c r="S401" s="839"/>
      <c r="T401" s="839"/>
      <c r="U401" s="839"/>
      <c r="V401" s="839"/>
      <c r="W401" s="839"/>
      <c r="X401" s="839"/>
      <c r="Y401" s="839"/>
      <c r="Z401" s="839"/>
    </row>
    <row r="402" spans="2:26" s="1239" customFormat="1" ht="19.899999999999999" customHeight="1">
      <c r="B402" s="839"/>
      <c r="C402" s="839"/>
      <c r="D402" s="839"/>
      <c r="E402" s="839"/>
      <c r="F402" s="839"/>
      <c r="G402" s="839"/>
      <c r="H402" s="839"/>
      <c r="I402" s="839"/>
      <c r="J402" s="839"/>
      <c r="K402" s="839"/>
      <c r="L402" s="839"/>
      <c r="M402" s="839"/>
      <c r="N402" s="345"/>
      <c r="O402" s="839"/>
      <c r="P402" s="839"/>
      <c r="Q402" s="839"/>
      <c r="R402" s="839"/>
      <c r="S402" s="839"/>
      <c r="T402" s="839"/>
      <c r="U402" s="839"/>
      <c r="V402" s="839"/>
      <c r="W402" s="839"/>
      <c r="X402" s="839"/>
      <c r="Y402" s="839"/>
      <c r="Z402" s="839"/>
    </row>
    <row r="403" spans="2:26" s="1239" customFormat="1" ht="19.899999999999999" customHeight="1">
      <c r="B403" s="839"/>
      <c r="C403" s="839"/>
      <c r="D403" s="839"/>
      <c r="E403" s="839"/>
      <c r="F403" s="839"/>
      <c r="G403" s="839"/>
      <c r="H403" s="839"/>
      <c r="I403" s="839"/>
      <c r="J403" s="839"/>
      <c r="K403" s="839"/>
      <c r="L403" s="839"/>
      <c r="M403" s="839"/>
      <c r="N403" s="345"/>
      <c r="O403" s="839"/>
      <c r="P403" s="839"/>
      <c r="Q403" s="839"/>
      <c r="R403" s="839"/>
      <c r="S403" s="839"/>
      <c r="T403" s="839"/>
      <c r="U403" s="839"/>
      <c r="V403" s="839"/>
      <c r="W403" s="839"/>
      <c r="X403" s="839"/>
      <c r="Y403" s="839"/>
      <c r="Z403" s="839"/>
    </row>
    <row r="404" spans="2:26" s="1239" customFormat="1" ht="19.899999999999999" customHeight="1">
      <c r="B404" s="839"/>
      <c r="C404" s="839"/>
      <c r="D404" s="839"/>
      <c r="E404" s="839"/>
      <c r="F404" s="839"/>
      <c r="G404" s="839"/>
      <c r="H404" s="839"/>
      <c r="I404" s="839"/>
      <c r="J404" s="839"/>
      <c r="K404" s="839"/>
      <c r="L404" s="839"/>
      <c r="M404" s="839"/>
      <c r="N404" s="345"/>
      <c r="O404" s="839"/>
      <c r="P404" s="839"/>
      <c r="Q404" s="839"/>
      <c r="R404" s="839"/>
      <c r="S404" s="839"/>
      <c r="T404" s="839"/>
      <c r="U404" s="839"/>
      <c r="V404" s="839"/>
      <c r="W404" s="839"/>
      <c r="X404" s="839"/>
      <c r="Y404" s="839"/>
      <c r="Z404" s="839"/>
    </row>
    <row r="405" spans="2:26" s="1239" customFormat="1" ht="19.899999999999999" customHeight="1">
      <c r="B405" s="839"/>
      <c r="C405" s="839"/>
      <c r="D405" s="839"/>
      <c r="E405" s="839"/>
      <c r="F405" s="839"/>
      <c r="G405" s="839"/>
      <c r="H405" s="839"/>
      <c r="I405" s="839"/>
      <c r="J405" s="839"/>
      <c r="K405" s="839"/>
      <c r="L405" s="839"/>
      <c r="M405" s="839"/>
      <c r="N405" s="345"/>
      <c r="O405" s="839"/>
      <c r="P405" s="839"/>
      <c r="Q405" s="839"/>
      <c r="R405" s="839"/>
      <c r="S405" s="839"/>
      <c r="T405" s="839"/>
      <c r="U405" s="839"/>
      <c r="V405" s="839"/>
      <c r="W405" s="839"/>
      <c r="X405" s="839"/>
      <c r="Y405" s="839"/>
      <c r="Z405" s="839"/>
    </row>
    <row r="406" spans="2:26" s="1239" customFormat="1" ht="19.899999999999999" customHeight="1">
      <c r="B406" s="839"/>
      <c r="C406" s="839"/>
      <c r="D406" s="839"/>
      <c r="E406" s="839"/>
      <c r="F406" s="839"/>
      <c r="G406" s="839"/>
      <c r="H406" s="839"/>
      <c r="I406" s="839"/>
      <c r="J406" s="839"/>
      <c r="K406" s="839"/>
      <c r="L406" s="839"/>
      <c r="M406" s="839"/>
      <c r="N406" s="345"/>
      <c r="O406" s="839"/>
      <c r="P406" s="839"/>
      <c r="Q406" s="839"/>
      <c r="R406" s="839"/>
      <c r="S406" s="839"/>
      <c r="T406" s="839"/>
      <c r="U406" s="839"/>
      <c r="V406" s="839"/>
      <c r="W406" s="839"/>
      <c r="X406" s="839"/>
      <c r="Y406" s="839"/>
      <c r="Z406" s="839"/>
    </row>
    <row r="407" spans="2:26" s="1239" customFormat="1" ht="19.899999999999999" customHeight="1">
      <c r="B407" s="839"/>
      <c r="C407" s="839"/>
      <c r="D407" s="839"/>
      <c r="E407" s="839"/>
      <c r="F407" s="839"/>
      <c r="G407" s="839"/>
      <c r="H407" s="839"/>
      <c r="I407" s="839"/>
      <c r="J407" s="839"/>
      <c r="K407" s="839"/>
      <c r="L407" s="839"/>
      <c r="M407" s="839"/>
      <c r="N407" s="345"/>
      <c r="O407" s="839"/>
      <c r="P407" s="839"/>
      <c r="Q407" s="839"/>
      <c r="R407" s="839"/>
      <c r="S407" s="839"/>
      <c r="T407" s="839"/>
      <c r="U407" s="839"/>
      <c r="V407" s="839"/>
      <c r="W407" s="839"/>
      <c r="X407" s="839"/>
      <c r="Y407" s="839"/>
      <c r="Z407" s="839"/>
    </row>
    <row r="408" spans="2:26" s="1239" customFormat="1" ht="19.899999999999999" customHeight="1">
      <c r="B408" s="839"/>
      <c r="C408" s="839"/>
      <c r="D408" s="839"/>
      <c r="E408" s="839"/>
      <c r="F408" s="839"/>
      <c r="G408" s="839"/>
      <c r="H408" s="839"/>
      <c r="I408" s="839"/>
      <c r="J408" s="839"/>
      <c r="K408" s="839"/>
      <c r="L408" s="839"/>
      <c r="M408" s="839"/>
      <c r="N408" s="345"/>
      <c r="O408" s="839"/>
      <c r="P408" s="839"/>
      <c r="Q408" s="839"/>
      <c r="R408" s="839"/>
      <c r="S408" s="839"/>
      <c r="T408" s="839"/>
      <c r="U408" s="839"/>
      <c r="V408" s="839"/>
      <c r="W408" s="839"/>
      <c r="X408" s="839"/>
      <c r="Y408" s="839"/>
      <c r="Z408" s="839"/>
    </row>
    <row r="409" spans="2:26" s="1239" customFormat="1" ht="19.899999999999999" customHeight="1">
      <c r="B409" s="839"/>
      <c r="C409" s="839"/>
      <c r="D409" s="839"/>
      <c r="E409" s="839"/>
      <c r="F409" s="839"/>
      <c r="G409" s="839"/>
      <c r="H409" s="839"/>
      <c r="I409" s="839"/>
      <c r="J409" s="839"/>
      <c r="K409" s="839"/>
      <c r="L409" s="839"/>
      <c r="M409" s="839"/>
      <c r="N409" s="345"/>
      <c r="O409" s="839"/>
      <c r="P409" s="839"/>
      <c r="Q409" s="839"/>
      <c r="R409" s="839"/>
      <c r="S409" s="839"/>
      <c r="T409" s="839"/>
      <c r="U409" s="839"/>
      <c r="V409" s="839"/>
      <c r="W409" s="839"/>
      <c r="X409" s="839"/>
      <c r="Y409" s="839"/>
      <c r="Z409" s="839"/>
    </row>
    <row r="410" spans="2:26" s="1239" customFormat="1" ht="19.899999999999999" customHeight="1">
      <c r="B410" s="839"/>
      <c r="C410" s="839"/>
      <c r="D410" s="839"/>
      <c r="E410" s="839"/>
      <c r="F410" s="839"/>
      <c r="G410" s="839"/>
      <c r="H410" s="839"/>
      <c r="I410" s="839"/>
      <c r="J410" s="839"/>
      <c r="K410" s="839"/>
      <c r="L410" s="839"/>
      <c r="M410" s="839"/>
      <c r="N410" s="345"/>
      <c r="O410" s="839"/>
      <c r="P410" s="839"/>
      <c r="Q410" s="839"/>
      <c r="R410" s="839"/>
      <c r="S410" s="839"/>
      <c r="T410" s="839"/>
      <c r="U410" s="839"/>
      <c r="V410" s="839"/>
      <c r="W410" s="839"/>
      <c r="X410" s="839"/>
      <c r="Y410" s="839"/>
      <c r="Z410" s="839"/>
    </row>
    <row r="411" spans="2:26" s="1239" customFormat="1" ht="19.899999999999999" customHeight="1">
      <c r="B411" s="839"/>
      <c r="C411" s="839"/>
      <c r="D411" s="839"/>
      <c r="E411" s="839"/>
      <c r="F411" s="839"/>
      <c r="G411" s="839"/>
      <c r="H411" s="839"/>
      <c r="I411" s="839"/>
      <c r="J411" s="839"/>
      <c r="K411" s="839"/>
      <c r="L411" s="839"/>
      <c r="M411" s="839"/>
      <c r="N411" s="345"/>
      <c r="O411" s="839"/>
      <c r="P411" s="839"/>
      <c r="Q411" s="839"/>
      <c r="R411" s="839"/>
      <c r="S411" s="839"/>
      <c r="T411" s="839"/>
      <c r="U411" s="839"/>
      <c r="V411" s="839"/>
      <c r="W411" s="839"/>
      <c r="X411" s="839"/>
      <c r="Y411" s="839"/>
      <c r="Z411" s="839"/>
    </row>
    <row r="412" spans="2:26" s="1239" customFormat="1" ht="19.899999999999999" customHeight="1">
      <c r="B412" s="839"/>
      <c r="C412" s="839"/>
      <c r="D412" s="839"/>
      <c r="E412" s="839"/>
      <c r="F412" s="839"/>
      <c r="G412" s="839"/>
      <c r="H412" s="839"/>
      <c r="I412" s="839"/>
      <c r="J412" s="839"/>
      <c r="K412" s="839"/>
      <c r="L412" s="839"/>
      <c r="M412" s="839"/>
      <c r="N412" s="345"/>
      <c r="O412" s="839"/>
      <c r="P412" s="839"/>
      <c r="Q412" s="839"/>
      <c r="R412" s="839"/>
      <c r="S412" s="839"/>
      <c r="T412" s="839"/>
      <c r="U412" s="839"/>
      <c r="V412" s="839"/>
      <c r="W412" s="839"/>
      <c r="X412" s="839"/>
      <c r="Y412" s="839"/>
      <c r="Z412" s="839"/>
    </row>
    <row r="413" spans="2:26" s="1239" customFormat="1" ht="19.899999999999999" customHeight="1">
      <c r="B413" s="839"/>
      <c r="C413" s="839"/>
      <c r="D413" s="839"/>
      <c r="E413" s="839"/>
      <c r="F413" s="839"/>
      <c r="G413" s="839"/>
      <c r="H413" s="839"/>
      <c r="I413" s="839"/>
      <c r="J413" s="839"/>
      <c r="K413" s="839"/>
      <c r="L413" s="839"/>
      <c r="M413" s="839"/>
      <c r="N413" s="345"/>
      <c r="O413" s="839"/>
      <c r="P413" s="839"/>
      <c r="Q413" s="839"/>
      <c r="R413" s="839"/>
      <c r="S413" s="839"/>
      <c r="T413" s="839"/>
      <c r="U413" s="839"/>
      <c r="V413" s="839"/>
      <c r="W413" s="839"/>
      <c r="X413" s="839"/>
      <c r="Y413" s="839"/>
      <c r="Z413" s="839"/>
    </row>
    <row r="414" spans="2:26" s="1239" customFormat="1" ht="19.899999999999999" customHeight="1">
      <c r="B414" s="839"/>
      <c r="C414" s="839"/>
      <c r="D414" s="839"/>
      <c r="E414" s="839"/>
      <c r="F414" s="839"/>
      <c r="G414" s="839"/>
      <c r="H414" s="839"/>
      <c r="I414" s="839"/>
      <c r="J414" s="839"/>
      <c r="K414" s="839"/>
      <c r="L414" s="839"/>
      <c r="M414" s="839"/>
      <c r="N414" s="345"/>
      <c r="O414" s="839"/>
      <c r="P414" s="839"/>
      <c r="Q414" s="839"/>
      <c r="R414" s="839"/>
      <c r="S414" s="839"/>
      <c r="T414" s="839"/>
      <c r="U414" s="839"/>
      <c r="V414" s="839"/>
      <c r="W414" s="839"/>
      <c r="X414" s="839"/>
      <c r="Y414" s="839"/>
      <c r="Z414" s="839"/>
    </row>
    <row r="415" spans="2:26" s="1239" customFormat="1" ht="19.899999999999999" customHeight="1">
      <c r="B415" s="839"/>
      <c r="C415" s="839"/>
      <c r="D415" s="839"/>
      <c r="E415" s="839"/>
      <c r="F415" s="839"/>
      <c r="G415" s="839"/>
      <c r="H415" s="839"/>
      <c r="I415" s="839"/>
      <c r="J415" s="839"/>
      <c r="K415" s="839"/>
      <c r="L415" s="839"/>
      <c r="M415" s="839"/>
      <c r="N415" s="345"/>
      <c r="O415" s="839"/>
      <c r="P415" s="839"/>
      <c r="Q415" s="839"/>
      <c r="R415" s="839"/>
      <c r="S415" s="839"/>
      <c r="T415" s="839"/>
      <c r="U415" s="839"/>
      <c r="V415" s="839"/>
      <c r="W415" s="839"/>
      <c r="X415" s="839"/>
      <c r="Y415" s="839"/>
      <c r="Z415" s="839"/>
    </row>
    <row r="416" spans="2:26" s="1239" customFormat="1" ht="19.899999999999999" customHeight="1">
      <c r="B416" s="839"/>
      <c r="C416" s="839"/>
      <c r="D416" s="839"/>
      <c r="E416" s="839"/>
      <c r="F416" s="839"/>
      <c r="G416" s="839"/>
      <c r="H416" s="839"/>
      <c r="I416" s="839"/>
      <c r="J416" s="839"/>
      <c r="K416" s="839"/>
      <c r="L416" s="839"/>
      <c r="M416" s="839"/>
      <c r="N416" s="345"/>
      <c r="O416" s="839"/>
      <c r="P416" s="839"/>
      <c r="Q416" s="839"/>
      <c r="R416" s="839"/>
      <c r="S416" s="839"/>
      <c r="T416" s="839"/>
      <c r="U416" s="839"/>
      <c r="V416" s="839"/>
      <c r="W416" s="839"/>
      <c r="X416" s="839"/>
      <c r="Y416" s="839"/>
      <c r="Z416" s="839"/>
    </row>
    <row r="417" spans="2:26" s="1239" customFormat="1" ht="19.899999999999999" customHeight="1">
      <c r="B417" s="839"/>
      <c r="C417" s="839"/>
      <c r="D417" s="839"/>
      <c r="E417" s="839"/>
      <c r="F417" s="839"/>
      <c r="G417" s="839"/>
      <c r="H417" s="839"/>
      <c r="I417" s="839"/>
      <c r="J417" s="839"/>
      <c r="K417" s="839"/>
      <c r="L417" s="839"/>
      <c r="M417" s="839"/>
      <c r="N417" s="345"/>
      <c r="O417" s="839"/>
      <c r="P417" s="839"/>
      <c r="Q417" s="839"/>
      <c r="R417" s="839"/>
      <c r="S417" s="839"/>
      <c r="T417" s="839"/>
      <c r="U417" s="839"/>
      <c r="V417" s="839"/>
      <c r="W417" s="839"/>
      <c r="X417" s="839"/>
      <c r="Y417" s="839"/>
      <c r="Z417" s="839"/>
    </row>
    <row r="418" spans="2:26" s="1239" customFormat="1" ht="19.899999999999999" customHeight="1">
      <c r="B418" s="839"/>
      <c r="C418" s="839"/>
      <c r="D418" s="839"/>
      <c r="E418" s="839"/>
      <c r="F418" s="839"/>
      <c r="G418" s="839"/>
      <c r="H418" s="839"/>
      <c r="I418" s="839"/>
      <c r="J418" s="839"/>
      <c r="K418" s="839"/>
      <c r="L418" s="839"/>
      <c r="M418" s="839"/>
      <c r="N418" s="345"/>
      <c r="O418" s="839"/>
      <c r="P418" s="839"/>
      <c r="Q418" s="839"/>
      <c r="R418" s="839"/>
      <c r="S418" s="839"/>
      <c r="T418" s="839"/>
      <c r="U418" s="839"/>
      <c r="V418" s="839"/>
      <c r="W418" s="839"/>
      <c r="X418" s="839"/>
      <c r="Y418" s="839"/>
      <c r="Z418" s="839"/>
    </row>
    <row r="419" spans="2:26" s="1239" customFormat="1" ht="19.899999999999999" customHeight="1">
      <c r="B419" s="839"/>
      <c r="C419" s="839"/>
      <c r="D419" s="839"/>
      <c r="E419" s="839"/>
      <c r="F419" s="839"/>
      <c r="G419" s="839"/>
      <c r="H419" s="839"/>
      <c r="I419" s="839"/>
      <c r="J419" s="839"/>
      <c r="K419" s="839"/>
      <c r="L419" s="839"/>
      <c r="M419" s="839"/>
      <c r="N419" s="345"/>
      <c r="O419" s="839"/>
      <c r="P419" s="839"/>
      <c r="Q419" s="839"/>
      <c r="R419" s="839"/>
      <c r="S419" s="839"/>
      <c r="T419" s="839"/>
      <c r="U419" s="839"/>
      <c r="V419" s="839"/>
      <c r="W419" s="839"/>
      <c r="X419" s="839"/>
      <c r="Y419" s="839"/>
      <c r="Z419" s="839"/>
    </row>
    <row r="420" spans="2:26" s="1239" customFormat="1" ht="19.899999999999999" customHeight="1">
      <c r="B420" s="839"/>
      <c r="C420" s="839"/>
      <c r="D420" s="839"/>
      <c r="E420" s="839"/>
      <c r="F420" s="839"/>
      <c r="G420" s="839"/>
      <c r="H420" s="839"/>
      <c r="I420" s="839"/>
      <c r="J420" s="839"/>
      <c r="K420" s="839"/>
      <c r="L420" s="839"/>
      <c r="M420" s="839"/>
      <c r="N420" s="345"/>
      <c r="O420" s="839"/>
      <c r="P420" s="839"/>
      <c r="Q420" s="839"/>
      <c r="R420" s="839"/>
      <c r="S420" s="839"/>
      <c r="T420" s="839"/>
      <c r="U420" s="839"/>
      <c r="V420" s="839"/>
      <c r="W420" s="839"/>
      <c r="X420" s="839"/>
      <c r="Y420" s="839"/>
      <c r="Z420" s="839"/>
    </row>
    <row r="421" spans="2:26" s="1239" customFormat="1" ht="19.899999999999999" customHeight="1">
      <c r="B421" s="839"/>
      <c r="C421" s="839"/>
      <c r="D421" s="839"/>
      <c r="E421" s="839"/>
      <c r="F421" s="839"/>
      <c r="G421" s="839"/>
      <c r="H421" s="839"/>
      <c r="I421" s="839"/>
      <c r="J421" s="839"/>
      <c r="K421" s="839"/>
      <c r="L421" s="839"/>
      <c r="M421" s="839"/>
      <c r="N421" s="345"/>
      <c r="O421" s="839"/>
      <c r="P421" s="839"/>
      <c r="Q421" s="839"/>
      <c r="R421" s="839"/>
      <c r="S421" s="839"/>
      <c r="T421" s="839"/>
      <c r="U421" s="839"/>
      <c r="V421" s="839"/>
      <c r="W421" s="839"/>
      <c r="X421" s="839"/>
      <c r="Y421" s="839"/>
      <c r="Z421" s="839"/>
    </row>
    <row r="422" spans="2:26" s="1239" customFormat="1" ht="19.899999999999999" customHeight="1">
      <c r="B422" s="839"/>
      <c r="C422" s="839"/>
      <c r="D422" s="839"/>
      <c r="E422" s="839"/>
      <c r="F422" s="839"/>
      <c r="G422" s="839"/>
      <c r="H422" s="839"/>
      <c r="I422" s="839"/>
      <c r="J422" s="839"/>
      <c r="K422" s="839"/>
      <c r="L422" s="839"/>
      <c r="M422" s="839"/>
      <c r="N422" s="345"/>
      <c r="O422" s="839"/>
      <c r="P422" s="839"/>
      <c r="Q422" s="839"/>
      <c r="R422" s="839"/>
      <c r="S422" s="839"/>
      <c r="T422" s="839"/>
      <c r="U422" s="839"/>
      <c r="V422" s="839"/>
      <c r="W422" s="839"/>
      <c r="X422" s="839"/>
      <c r="Y422" s="839"/>
      <c r="Z422" s="839"/>
    </row>
    <row r="423" spans="2:26" s="1239" customFormat="1" ht="19.899999999999999" customHeight="1">
      <c r="B423" s="839"/>
      <c r="C423" s="839"/>
      <c r="D423" s="839"/>
      <c r="E423" s="839"/>
      <c r="F423" s="839"/>
      <c r="G423" s="839"/>
      <c r="H423" s="839"/>
      <c r="I423" s="839"/>
      <c r="J423" s="839"/>
      <c r="K423" s="839"/>
      <c r="L423" s="839"/>
      <c r="M423" s="839"/>
      <c r="N423" s="345"/>
      <c r="O423" s="839"/>
      <c r="P423" s="839"/>
      <c r="Q423" s="839"/>
      <c r="R423" s="839"/>
      <c r="S423" s="839"/>
      <c r="T423" s="839"/>
      <c r="U423" s="839"/>
      <c r="V423" s="839"/>
      <c r="W423" s="839"/>
      <c r="X423" s="839"/>
      <c r="Y423" s="839"/>
      <c r="Z423" s="839"/>
    </row>
    <row r="424" spans="2:26" s="1239" customFormat="1" ht="19.899999999999999" customHeight="1">
      <c r="B424" s="839"/>
      <c r="C424" s="839"/>
      <c r="D424" s="839"/>
      <c r="E424" s="839"/>
      <c r="F424" s="839"/>
      <c r="G424" s="839"/>
      <c r="H424" s="839"/>
      <c r="I424" s="839"/>
      <c r="J424" s="839"/>
      <c r="K424" s="839"/>
      <c r="L424" s="839"/>
      <c r="M424" s="839"/>
      <c r="N424" s="345"/>
      <c r="O424" s="839"/>
      <c r="P424" s="839"/>
      <c r="Q424" s="839"/>
      <c r="R424" s="839"/>
      <c r="S424" s="839"/>
      <c r="T424" s="839"/>
      <c r="U424" s="839"/>
      <c r="V424" s="839"/>
      <c r="W424" s="839"/>
      <c r="X424" s="839"/>
      <c r="Y424" s="839"/>
      <c r="Z424" s="839"/>
    </row>
    <row r="425" spans="2:26" s="1239" customFormat="1" ht="19.899999999999999" customHeight="1">
      <c r="B425" s="839"/>
      <c r="C425" s="839"/>
      <c r="D425" s="839"/>
      <c r="E425" s="839"/>
      <c r="F425" s="839"/>
      <c r="G425" s="839"/>
      <c r="H425" s="839"/>
      <c r="I425" s="839"/>
      <c r="J425" s="839"/>
      <c r="K425" s="839"/>
      <c r="L425" s="839"/>
      <c r="M425" s="839"/>
      <c r="N425" s="345"/>
      <c r="O425" s="839"/>
      <c r="P425" s="839"/>
      <c r="Q425" s="839"/>
      <c r="R425" s="839"/>
      <c r="S425" s="839"/>
      <c r="T425" s="839"/>
      <c r="U425" s="839"/>
      <c r="V425" s="839"/>
      <c r="W425" s="839"/>
      <c r="X425" s="839"/>
      <c r="Y425" s="839"/>
      <c r="Z425" s="839"/>
    </row>
    <row r="426" spans="2:26" s="1239" customFormat="1" ht="19.899999999999999" customHeight="1">
      <c r="B426" s="839"/>
      <c r="C426" s="839"/>
      <c r="D426" s="839"/>
      <c r="E426" s="839"/>
      <c r="F426" s="839"/>
      <c r="G426" s="839"/>
      <c r="H426" s="839"/>
      <c r="I426" s="839"/>
      <c r="J426" s="839"/>
      <c r="K426" s="839"/>
      <c r="L426" s="839"/>
      <c r="M426" s="839"/>
      <c r="N426" s="345"/>
      <c r="O426" s="839"/>
      <c r="P426" s="839"/>
      <c r="Q426" s="839"/>
      <c r="R426" s="839"/>
      <c r="S426" s="839"/>
      <c r="T426" s="839"/>
      <c r="U426" s="839"/>
      <c r="V426" s="839"/>
      <c r="W426" s="839"/>
      <c r="X426" s="839"/>
      <c r="Y426" s="839"/>
      <c r="Z426" s="839"/>
    </row>
    <row r="427" spans="2:26" s="1239" customFormat="1" ht="19.899999999999999" customHeight="1">
      <c r="B427" s="839"/>
      <c r="C427" s="839"/>
      <c r="D427" s="839"/>
      <c r="E427" s="839"/>
      <c r="F427" s="839"/>
      <c r="G427" s="839"/>
      <c r="H427" s="839"/>
      <c r="I427" s="839"/>
      <c r="J427" s="839"/>
      <c r="K427" s="839"/>
      <c r="L427" s="839"/>
      <c r="M427" s="839"/>
      <c r="N427" s="345"/>
      <c r="O427" s="839"/>
      <c r="P427" s="839"/>
      <c r="Q427" s="839"/>
      <c r="R427" s="839"/>
      <c r="S427" s="839"/>
      <c r="T427" s="839"/>
      <c r="U427" s="839"/>
      <c r="V427" s="839"/>
      <c r="W427" s="839"/>
      <c r="X427" s="839"/>
      <c r="Y427" s="839"/>
      <c r="Z427" s="839"/>
    </row>
    <row r="428" spans="2:26" s="1239" customFormat="1" ht="19.899999999999999" customHeight="1">
      <c r="B428" s="839"/>
      <c r="C428" s="839"/>
      <c r="D428" s="839"/>
      <c r="E428" s="839"/>
      <c r="F428" s="839"/>
      <c r="G428" s="839"/>
      <c r="H428" s="839"/>
      <c r="I428" s="839"/>
      <c r="J428" s="839"/>
      <c r="K428" s="839"/>
      <c r="L428" s="839"/>
      <c r="M428" s="839"/>
      <c r="N428" s="345"/>
      <c r="O428" s="839"/>
      <c r="P428" s="839"/>
      <c r="Q428" s="839"/>
      <c r="R428" s="839"/>
      <c r="S428" s="839"/>
      <c r="T428" s="839"/>
      <c r="U428" s="839"/>
      <c r="V428" s="839"/>
      <c r="W428" s="839"/>
      <c r="X428" s="839"/>
      <c r="Y428" s="839"/>
      <c r="Z428" s="839"/>
    </row>
    <row r="429" spans="2:26" s="1239" customFormat="1" ht="19.899999999999999" customHeight="1">
      <c r="B429" s="839"/>
      <c r="C429" s="839"/>
      <c r="D429" s="839"/>
      <c r="E429" s="839"/>
      <c r="F429" s="839"/>
      <c r="G429" s="839"/>
      <c r="H429" s="839"/>
      <c r="I429" s="839"/>
      <c r="J429" s="839"/>
      <c r="K429" s="839"/>
      <c r="L429" s="839"/>
      <c r="M429" s="839"/>
      <c r="N429" s="345"/>
      <c r="O429" s="839"/>
      <c r="P429" s="839"/>
      <c r="Q429" s="839"/>
      <c r="R429" s="839"/>
      <c r="S429" s="839"/>
      <c r="T429" s="839"/>
      <c r="U429" s="839"/>
      <c r="V429" s="839"/>
      <c r="W429" s="839"/>
      <c r="X429" s="839"/>
      <c r="Y429" s="839"/>
      <c r="Z429" s="839"/>
    </row>
    <row r="430" spans="2:26" s="1239" customFormat="1" ht="19.899999999999999" customHeight="1">
      <c r="B430" s="839"/>
      <c r="C430" s="839"/>
      <c r="D430" s="839"/>
      <c r="E430" s="839"/>
      <c r="F430" s="839"/>
      <c r="G430" s="839"/>
      <c r="H430" s="839"/>
      <c r="I430" s="839"/>
      <c r="J430" s="839"/>
      <c r="K430" s="839"/>
      <c r="L430" s="839"/>
      <c r="M430" s="839"/>
      <c r="N430" s="345"/>
      <c r="O430" s="839"/>
      <c r="P430" s="839"/>
      <c r="Q430" s="839"/>
      <c r="R430" s="839"/>
      <c r="S430" s="839"/>
      <c r="T430" s="839"/>
      <c r="U430" s="839"/>
      <c r="V430" s="839"/>
      <c r="W430" s="839"/>
      <c r="X430" s="839"/>
      <c r="Y430" s="839"/>
      <c r="Z430" s="839"/>
    </row>
    <row r="431" spans="2:26" s="1239" customFormat="1" ht="19.899999999999999" customHeight="1">
      <c r="B431" s="839"/>
      <c r="C431" s="839"/>
      <c r="D431" s="839"/>
      <c r="E431" s="839"/>
      <c r="F431" s="839"/>
      <c r="G431" s="839"/>
      <c r="H431" s="839"/>
      <c r="I431" s="839"/>
      <c r="J431" s="839"/>
      <c r="K431" s="839"/>
      <c r="L431" s="839"/>
      <c r="M431" s="839"/>
      <c r="N431" s="345"/>
      <c r="O431" s="839"/>
      <c r="P431" s="839"/>
      <c r="Q431" s="839"/>
      <c r="R431" s="839"/>
      <c r="S431" s="839"/>
      <c r="T431" s="839"/>
      <c r="U431" s="839"/>
      <c r="V431" s="839"/>
      <c r="W431" s="839"/>
      <c r="X431" s="839"/>
      <c r="Y431" s="839"/>
      <c r="Z431" s="839"/>
    </row>
    <row r="432" spans="2:26" s="1239" customFormat="1" ht="19.899999999999999" customHeight="1">
      <c r="B432" s="839"/>
      <c r="C432" s="839"/>
      <c r="D432" s="839"/>
      <c r="E432" s="839"/>
      <c r="F432" s="839"/>
      <c r="G432" s="839"/>
      <c r="H432" s="839"/>
      <c r="I432" s="839"/>
      <c r="J432" s="839"/>
      <c r="K432" s="839"/>
      <c r="L432" s="839"/>
      <c r="M432" s="839"/>
      <c r="N432" s="345"/>
      <c r="O432" s="839"/>
      <c r="P432" s="839"/>
      <c r="Q432" s="839"/>
      <c r="R432" s="839"/>
      <c r="S432" s="839"/>
      <c r="T432" s="839"/>
      <c r="U432" s="839"/>
      <c r="V432" s="839"/>
      <c r="W432" s="839"/>
      <c r="X432" s="839"/>
      <c r="Y432" s="839"/>
      <c r="Z432" s="839"/>
    </row>
    <row r="433" spans="2:26" s="1239" customFormat="1" ht="19.899999999999999" customHeight="1">
      <c r="B433" s="839"/>
      <c r="C433" s="839"/>
      <c r="D433" s="839"/>
      <c r="E433" s="839"/>
      <c r="F433" s="839"/>
      <c r="G433" s="839"/>
      <c r="H433" s="839"/>
      <c r="I433" s="839"/>
      <c r="J433" s="839"/>
      <c r="K433" s="839"/>
      <c r="L433" s="839"/>
      <c r="M433" s="839"/>
      <c r="N433" s="345"/>
      <c r="O433" s="839"/>
      <c r="P433" s="839"/>
      <c r="Q433" s="839"/>
      <c r="R433" s="839"/>
      <c r="S433" s="839"/>
      <c r="T433" s="839"/>
      <c r="U433" s="839"/>
      <c r="V433" s="839"/>
      <c r="W433" s="839"/>
      <c r="X433" s="839"/>
      <c r="Y433" s="839"/>
      <c r="Z433" s="839"/>
    </row>
    <row r="434" spans="2:26" s="1239" customFormat="1" ht="19.899999999999999" customHeight="1">
      <c r="B434" s="839"/>
      <c r="C434" s="839"/>
      <c r="D434" s="839"/>
      <c r="E434" s="839"/>
      <c r="F434" s="839"/>
      <c r="G434" s="839"/>
      <c r="H434" s="839"/>
      <c r="I434" s="839"/>
      <c r="J434" s="839"/>
      <c r="K434" s="839"/>
      <c r="L434" s="839"/>
      <c r="M434" s="839"/>
      <c r="N434" s="345"/>
      <c r="O434" s="839"/>
      <c r="P434" s="839"/>
      <c r="Q434" s="839"/>
      <c r="R434" s="839"/>
      <c r="S434" s="839"/>
      <c r="T434" s="839"/>
      <c r="U434" s="839"/>
      <c r="V434" s="839"/>
      <c r="W434" s="839"/>
      <c r="X434" s="839"/>
      <c r="Y434" s="839"/>
      <c r="Z434" s="839"/>
    </row>
    <row r="435" spans="2:26" s="1239" customFormat="1" ht="19.899999999999999" customHeight="1">
      <c r="B435" s="839"/>
      <c r="C435" s="839"/>
      <c r="D435" s="839"/>
      <c r="E435" s="839"/>
      <c r="F435" s="839"/>
      <c r="G435" s="839"/>
      <c r="H435" s="839"/>
      <c r="I435" s="839"/>
      <c r="J435" s="839"/>
      <c r="K435" s="839"/>
      <c r="L435" s="839"/>
      <c r="M435" s="839"/>
      <c r="N435" s="345"/>
      <c r="O435" s="839"/>
      <c r="P435" s="839"/>
      <c r="Q435" s="839"/>
      <c r="R435" s="839"/>
      <c r="S435" s="839"/>
      <c r="T435" s="839"/>
      <c r="U435" s="839"/>
      <c r="V435" s="839"/>
      <c r="W435" s="839"/>
      <c r="X435" s="839"/>
      <c r="Y435" s="839"/>
      <c r="Z435" s="839"/>
    </row>
    <row r="436" spans="2:26" s="1239" customFormat="1" ht="19.899999999999999" customHeight="1">
      <c r="B436" s="839"/>
      <c r="C436" s="839"/>
      <c r="D436" s="839"/>
      <c r="E436" s="839"/>
      <c r="F436" s="839"/>
      <c r="G436" s="839"/>
      <c r="H436" s="839"/>
      <c r="I436" s="839"/>
      <c r="J436" s="839"/>
      <c r="K436" s="839"/>
      <c r="L436" s="839"/>
      <c r="M436" s="839"/>
      <c r="N436" s="345"/>
      <c r="O436" s="839"/>
      <c r="P436" s="839"/>
      <c r="Q436" s="839"/>
      <c r="R436" s="839"/>
      <c r="S436" s="839"/>
      <c r="T436" s="839"/>
      <c r="U436" s="839"/>
      <c r="V436" s="839"/>
      <c r="W436" s="839"/>
      <c r="X436" s="839"/>
      <c r="Y436" s="839"/>
      <c r="Z436" s="839"/>
    </row>
    <row r="437" spans="2:26" s="1239" customFormat="1" ht="19.899999999999999" customHeight="1">
      <c r="B437" s="839"/>
      <c r="C437" s="839"/>
      <c r="D437" s="839"/>
      <c r="E437" s="839"/>
      <c r="F437" s="839"/>
      <c r="G437" s="839"/>
      <c r="H437" s="839"/>
      <c r="I437" s="839"/>
      <c r="J437" s="839"/>
      <c r="K437" s="839"/>
      <c r="L437" s="839"/>
      <c r="M437" s="839"/>
      <c r="N437" s="345"/>
      <c r="O437" s="839"/>
      <c r="P437" s="839"/>
      <c r="Q437" s="839"/>
      <c r="R437" s="839"/>
      <c r="S437" s="839"/>
      <c r="T437" s="839"/>
      <c r="U437" s="839"/>
      <c r="V437" s="839"/>
      <c r="W437" s="839"/>
      <c r="X437" s="839"/>
      <c r="Y437" s="839"/>
      <c r="Z437" s="839"/>
    </row>
    <row r="438" spans="2:26" s="1239" customFormat="1" ht="19.899999999999999" customHeight="1">
      <c r="B438" s="839"/>
      <c r="C438" s="839"/>
      <c r="D438" s="839"/>
      <c r="E438" s="839"/>
      <c r="F438" s="839"/>
      <c r="G438" s="839"/>
      <c r="H438" s="839"/>
      <c r="I438" s="839"/>
      <c r="J438" s="839"/>
      <c r="K438" s="839"/>
      <c r="L438" s="839"/>
      <c r="M438" s="839"/>
      <c r="N438" s="345"/>
      <c r="O438" s="839"/>
      <c r="P438" s="839"/>
      <c r="Q438" s="839"/>
      <c r="R438" s="839"/>
      <c r="S438" s="839"/>
      <c r="T438" s="839"/>
      <c r="U438" s="839"/>
      <c r="V438" s="839"/>
      <c r="W438" s="839"/>
      <c r="X438" s="839"/>
      <c r="Y438" s="839"/>
      <c r="Z438" s="839"/>
    </row>
    <row r="439" spans="2:26" s="1239" customFormat="1" ht="19.899999999999999" customHeight="1">
      <c r="B439" s="839"/>
      <c r="C439" s="839"/>
      <c r="D439" s="839"/>
      <c r="E439" s="839"/>
      <c r="F439" s="839"/>
      <c r="G439" s="839"/>
      <c r="H439" s="839"/>
      <c r="I439" s="839"/>
      <c r="J439" s="839"/>
      <c r="K439" s="839"/>
      <c r="L439" s="839"/>
      <c r="M439" s="839"/>
      <c r="N439" s="345"/>
      <c r="O439" s="839"/>
      <c r="P439" s="839"/>
      <c r="Q439" s="839"/>
      <c r="R439" s="839"/>
      <c r="S439" s="839"/>
      <c r="T439" s="839"/>
      <c r="U439" s="839"/>
      <c r="V439" s="839"/>
      <c r="W439" s="839"/>
      <c r="X439" s="839"/>
      <c r="Y439" s="839"/>
      <c r="Z439" s="839"/>
    </row>
    <row r="440" spans="2:26" s="1239" customFormat="1" ht="19.899999999999999" customHeight="1">
      <c r="B440" s="839"/>
      <c r="C440" s="839"/>
      <c r="D440" s="839"/>
      <c r="E440" s="839"/>
      <c r="F440" s="839"/>
      <c r="G440" s="839"/>
      <c r="H440" s="839"/>
      <c r="I440" s="839"/>
      <c r="J440" s="839"/>
      <c r="K440" s="839"/>
      <c r="L440" s="839"/>
      <c r="M440" s="839"/>
      <c r="N440" s="345"/>
      <c r="O440" s="839"/>
      <c r="P440" s="839"/>
      <c r="Q440" s="839"/>
      <c r="R440" s="839"/>
      <c r="S440" s="839"/>
      <c r="T440" s="839"/>
      <c r="U440" s="839"/>
      <c r="V440" s="839"/>
      <c r="W440" s="839"/>
      <c r="X440" s="839"/>
      <c r="Y440" s="839"/>
      <c r="Z440" s="839"/>
    </row>
    <row r="441" spans="2:26" s="1239" customFormat="1" ht="19.899999999999999" customHeight="1">
      <c r="B441" s="839"/>
      <c r="C441" s="839"/>
      <c r="D441" s="839"/>
      <c r="E441" s="839"/>
      <c r="F441" s="839"/>
      <c r="G441" s="839"/>
      <c r="H441" s="839"/>
      <c r="I441" s="839"/>
      <c r="J441" s="839"/>
      <c r="K441" s="839"/>
      <c r="L441" s="839"/>
      <c r="M441" s="839"/>
      <c r="N441" s="345"/>
      <c r="O441" s="839"/>
      <c r="P441" s="839"/>
      <c r="Q441" s="839"/>
      <c r="R441" s="839"/>
      <c r="S441" s="839"/>
      <c r="T441" s="839"/>
      <c r="U441" s="839"/>
      <c r="V441" s="839"/>
      <c r="W441" s="839"/>
      <c r="X441" s="839"/>
      <c r="Y441" s="839"/>
      <c r="Z441" s="839"/>
    </row>
    <row r="442" spans="2:26" s="1239" customFormat="1" ht="19.899999999999999" customHeight="1">
      <c r="B442" s="839"/>
      <c r="C442" s="839"/>
      <c r="D442" s="839"/>
      <c r="E442" s="839"/>
      <c r="F442" s="839"/>
      <c r="G442" s="839"/>
      <c r="H442" s="839"/>
      <c r="I442" s="839"/>
      <c r="J442" s="839"/>
      <c r="K442" s="839"/>
      <c r="L442" s="839"/>
      <c r="M442" s="839"/>
      <c r="N442" s="345"/>
      <c r="O442" s="839"/>
      <c r="P442" s="839"/>
      <c r="Q442" s="839"/>
      <c r="R442" s="839"/>
      <c r="S442" s="839"/>
      <c r="T442" s="839"/>
      <c r="U442" s="839"/>
      <c r="V442" s="839"/>
      <c r="W442" s="839"/>
      <c r="X442" s="839"/>
      <c r="Y442" s="839"/>
      <c r="Z442" s="839"/>
    </row>
    <row r="443" spans="2:26" s="1239" customFormat="1" ht="19.899999999999999" customHeight="1">
      <c r="B443" s="839"/>
      <c r="C443" s="839"/>
      <c r="D443" s="839"/>
      <c r="E443" s="839"/>
      <c r="F443" s="839"/>
      <c r="G443" s="839"/>
      <c r="H443" s="839"/>
      <c r="I443" s="839"/>
      <c r="J443" s="839"/>
      <c r="K443" s="839"/>
      <c r="L443" s="839"/>
      <c r="M443" s="839"/>
      <c r="N443" s="345"/>
      <c r="O443" s="839"/>
      <c r="P443" s="839"/>
      <c r="Q443" s="839"/>
      <c r="R443" s="839"/>
      <c r="S443" s="839"/>
      <c r="T443" s="839"/>
      <c r="U443" s="839"/>
      <c r="V443" s="839"/>
      <c r="W443" s="839"/>
      <c r="X443" s="839"/>
      <c r="Y443" s="839"/>
      <c r="Z443" s="839"/>
    </row>
    <row r="444" spans="2:26" s="1239" customFormat="1" ht="19.899999999999999" customHeight="1">
      <c r="B444" s="839"/>
      <c r="C444" s="839"/>
      <c r="D444" s="839"/>
      <c r="E444" s="839"/>
      <c r="F444" s="839"/>
      <c r="G444" s="839"/>
      <c r="H444" s="839"/>
      <c r="I444" s="839"/>
      <c r="J444" s="839"/>
      <c r="K444" s="839"/>
      <c r="L444" s="839"/>
      <c r="M444" s="839"/>
      <c r="N444" s="345"/>
      <c r="O444" s="839"/>
      <c r="P444" s="839"/>
      <c r="Q444" s="839"/>
      <c r="R444" s="839"/>
      <c r="S444" s="839"/>
      <c r="T444" s="839"/>
      <c r="U444" s="839"/>
      <c r="V444" s="839"/>
      <c r="W444" s="839"/>
      <c r="X444" s="839"/>
      <c r="Y444" s="839"/>
      <c r="Z444" s="839"/>
    </row>
    <row r="445" spans="2:26" s="1239" customFormat="1" ht="19.899999999999999" customHeight="1">
      <c r="B445" s="839"/>
      <c r="C445" s="839"/>
      <c r="D445" s="839"/>
      <c r="E445" s="839"/>
      <c r="F445" s="839"/>
      <c r="G445" s="839"/>
      <c r="H445" s="839"/>
      <c r="I445" s="839"/>
      <c r="J445" s="839"/>
      <c r="K445" s="839"/>
      <c r="L445" s="839"/>
      <c r="M445" s="839"/>
      <c r="N445" s="345"/>
      <c r="O445" s="839"/>
      <c r="P445" s="839"/>
      <c r="Q445" s="839"/>
      <c r="R445" s="839"/>
      <c r="S445" s="839"/>
      <c r="T445" s="839"/>
      <c r="U445" s="839"/>
      <c r="V445" s="839"/>
      <c r="W445" s="839"/>
      <c r="X445" s="839"/>
      <c r="Y445" s="839"/>
      <c r="Z445" s="839"/>
    </row>
    <row r="446" spans="2:26" s="1239" customFormat="1" ht="19.899999999999999" customHeight="1">
      <c r="B446" s="839"/>
      <c r="C446" s="839"/>
      <c r="D446" s="839"/>
      <c r="E446" s="839"/>
      <c r="F446" s="839"/>
      <c r="G446" s="839"/>
      <c r="H446" s="839"/>
      <c r="I446" s="839"/>
      <c r="J446" s="839"/>
      <c r="K446" s="839"/>
      <c r="L446" s="839"/>
      <c r="M446" s="839"/>
      <c r="N446" s="345"/>
      <c r="O446" s="839"/>
      <c r="P446" s="839"/>
      <c r="Q446" s="839"/>
      <c r="R446" s="839"/>
      <c r="S446" s="839"/>
      <c r="T446" s="839"/>
      <c r="U446" s="839"/>
      <c r="V446" s="839"/>
      <c r="W446" s="839"/>
      <c r="X446" s="839"/>
      <c r="Y446" s="839"/>
      <c r="Z446" s="839"/>
    </row>
    <row r="447" spans="2:26" s="1239" customFormat="1" ht="19.899999999999999" customHeight="1">
      <c r="B447" s="839"/>
      <c r="C447" s="839"/>
      <c r="D447" s="839"/>
      <c r="E447" s="839"/>
      <c r="F447" s="839"/>
      <c r="G447" s="839"/>
      <c r="H447" s="839"/>
      <c r="I447" s="839"/>
      <c r="J447" s="839"/>
      <c r="K447" s="839"/>
      <c r="L447" s="839"/>
      <c r="M447" s="839"/>
      <c r="N447" s="345"/>
      <c r="O447" s="839"/>
      <c r="P447" s="839"/>
      <c r="Q447" s="839"/>
      <c r="R447" s="839"/>
      <c r="S447" s="839"/>
      <c r="T447" s="839"/>
      <c r="U447" s="839"/>
      <c r="V447" s="839"/>
      <c r="W447" s="839"/>
      <c r="X447" s="839"/>
      <c r="Y447" s="839"/>
      <c r="Z447" s="839"/>
    </row>
    <row r="448" spans="2:26" s="1239" customFormat="1" ht="19.899999999999999" customHeight="1">
      <c r="B448" s="839"/>
      <c r="C448" s="839"/>
      <c r="D448" s="839"/>
      <c r="E448" s="839"/>
      <c r="F448" s="839"/>
      <c r="G448" s="839"/>
      <c r="H448" s="839"/>
      <c r="I448" s="839"/>
      <c r="J448" s="839"/>
      <c r="K448" s="839"/>
      <c r="L448" s="839"/>
      <c r="M448" s="839"/>
      <c r="N448" s="345"/>
      <c r="O448" s="839"/>
      <c r="P448" s="839"/>
      <c r="Q448" s="839"/>
      <c r="R448" s="839"/>
      <c r="S448" s="839"/>
      <c r="T448" s="839"/>
      <c r="U448" s="839"/>
      <c r="V448" s="839"/>
      <c r="W448" s="839"/>
      <c r="X448" s="839"/>
      <c r="Y448" s="839"/>
      <c r="Z448" s="839"/>
    </row>
    <row r="449" spans="2:26" s="1239" customFormat="1" ht="19.899999999999999" customHeight="1">
      <c r="B449" s="839"/>
      <c r="C449" s="839"/>
      <c r="D449" s="839"/>
      <c r="E449" s="839"/>
      <c r="F449" s="839"/>
      <c r="G449" s="839"/>
      <c r="H449" s="839"/>
      <c r="I449" s="839"/>
      <c r="J449" s="839"/>
      <c r="K449" s="839"/>
      <c r="L449" s="839"/>
      <c r="M449" s="839"/>
      <c r="N449" s="345"/>
      <c r="O449" s="839"/>
      <c r="P449" s="839"/>
      <c r="Q449" s="839"/>
      <c r="R449" s="839"/>
      <c r="S449" s="839"/>
      <c r="T449" s="839"/>
      <c r="U449" s="839"/>
      <c r="V449" s="839"/>
      <c r="W449" s="839"/>
      <c r="X449" s="839"/>
      <c r="Y449" s="839"/>
      <c r="Z449" s="839"/>
    </row>
    <row r="450" spans="2:26" s="1239" customFormat="1" ht="19.899999999999999" customHeight="1">
      <c r="B450" s="839"/>
      <c r="C450" s="839"/>
      <c r="D450" s="839"/>
      <c r="E450" s="839"/>
      <c r="F450" s="839"/>
      <c r="G450" s="839"/>
      <c r="H450" s="839"/>
      <c r="I450" s="839"/>
      <c r="J450" s="839"/>
      <c r="K450" s="839"/>
      <c r="L450" s="839"/>
      <c r="M450" s="839"/>
      <c r="N450" s="345"/>
      <c r="O450" s="839"/>
      <c r="P450" s="839"/>
      <c r="Q450" s="839"/>
      <c r="R450" s="839"/>
      <c r="S450" s="839"/>
      <c r="T450" s="839"/>
      <c r="U450" s="839"/>
      <c r="V450" s="839"/>
      <c r="W450" s="839"/>
      <c r="X450" s="839"/>
      <c r="Y450" s="839"/>
      <c r="Z450" s="839"/>
    </row>
    <row r="451" spans="2:26" s="1239" customFormat="1" ht="19.899999999999999" customHeight="1">
      <c r="B451" s="839"/>
      <c r="C451" s="839"/>
      <c r="D451" s="839"/>
      <c r="E451" s="839"/>
      <c r="F451" s="839"/>
      <c r="G451" s="839"/>
      <c r="H451" s="839"/>
      <c r="I451" s="839"/>
      <c r="J451" s="839"/>
      <c r="K451" s="839"/>
      <c r="L451" s="839"/>
      <c r="M451" s="839"/>
      <c r="N451" s="345"/>
      <c r="O451" s="839"/>
      <c r="P451" s="839"/>
      <c r="Q451" s="839"/>
      <c r="R451" s="839"/>
      <c r="S451" s="839"/>
      <c r="T451" s="839"/>
      <c r="U451" s="839"/>
      <c r="V451" s="839"/>
      <c r="W451" s="839"/>
      <c r="X451" s="839"/>
      <c r="Y451" s="839"/>
      <c r="Z451" s="839"/>
    </row>
    <row r="452" spans="2:26" s="1239" customFormat="1" ht="19.899999999999999" customHeight="1">
      <c r="B452" s="839"/>
      <c r="C452" s="839"/>
      <c r="D452" s="839"/>
      <c r="E452" s="839"/>
      <c r="F452" s="839"/>
      <c r="G452" s="839"/>
      <c r="H452" s="839"/>
      <c r="I452" s="839"/>
      <c r="J452" s="839"/>
      <c r="K452" s="839"/>
      <c r="L452" s="839"/>
      <c r="M452" s="839"/>
      <c r="N452" s="345"/>
      <c r="O452" s="839"/>
      <c r="P452" s="839"/>
      <c r="Q452" s="839"/>
      <c r="R452" s="839"/>
      <c r="S452" s="839"/>
      <c r="T452" s="839"/>
      <c r="U452" s="839"/>
      <c r="V452" s="839"/>
      <c r="W452" s="839"/>
      <c r="X452" s="839"/>
      <c r="Y452" s="839"/>
      <c r="Z452" s="839"/>
    </row>
    <row r="453" spans="2:26" s="1239" customFormat="1" ht="19.899999999999999" customHeight="1">
      <c r="B453" s="839"/>
      <c r="C453" s="839"/>
      <c r="D453" s="839"/>
      <c r="E453" s="839"/>
      <c r="F453" s="839"/>
      <c r="G453" s="839"/>
      <c r="H453" s="839"/>
      <c r="I453" s="839"/>
      <c r="J453" s="839"/>
      <c r="K453" s="839"/>
      <c r="L453" s="839"/>
      <c r="M453" s="839"/>
      <c r="N453" s="345"/>
      <c r="O453" s="839"/>
      <c r="P453" s="839"/>
      <c r="Q453" s="839"/>
      <c r="R453" s="839"/>
      <c r="S453" s="839"/>
      <c r="T453" s="839"/>
      <c r="U453" s="839"/>
      <c r="V453" s="839"/>
      <c r="W453" s="839"/>
      <c r="X453" s="839"/>
      <c r="Y453" s="839"/>
      <c r="Z453" s="839"/>
    </row>
    <row r="454" spans="2:26" s="1239" customFormat="1" ht="19.899999999999999" customHeight="1">
      <c r="B454" s="839"/>
      <c r="C454" s="839"/>
      <c r="D454" s="839"/>
      <c r="E454" s="839"/>
      <c r="F454" s="839"/>
      <c r="G454" s="839"/>
      <c r="H454" s="839"/>
      <c r="I454" s="839"/>
      <c r="J454" s="839"/>
      <c r="K454" s="839"/>
      <c r="L454" s="839"/>
      <c r="M454" s="839"/>
      <c r="N454" s="345"/>
      <c r="O454" s="839"/>
      <c r="P454" s="839"/>
      <c r="Q454" s="839"/>
      <c r="R454" s="839"/>
      <c r="S454" s="839"/>
      <c r="T454" s="839"/>
      <c r="U454" s="839"/>
      <c r="V454" s="839"/>
      <c r="W454" s="839"/>
      <c r="X454" s="839"/>
      <c r="Y454" s="839"/>
      <c r="Z454" s="839"/>
    </row>
    <row r="455" spans="2:26" s="1239" customFormat="1" ht="19.899999999999999" customHeight="1">
      <c r="B455" s="839"/>
      <c r="C455" s="839"/>
      <c r="D455" s="839"/>
      <c r="E455" s="839"/>
      <c r="F455" s="839"/>
      <c r="G455" s="839"/>
      <c r="H455" s="839"/>
      <c r="I455" s="839"/>
      <c r="J455" s="839"/>
      <c r="K455" s="839"/>
      <c r="L455" s="839"/>
      <c r="M455" s="839"/>
      <c r="N455" s="345"/>
      <c r="O455" s="839"/>
      <c r="P455" s="839"/>
      <c r="Q455" s="839"/>
      <c r="R455" s="839"/>
      <c r="S455" s="839"/>
      <c r="T455" s="839"/>
      <c r="U455" s="839"/>
      <c r="V455" s="839"/>
      <c r="W455" s="839"/>
      <c r="X455" s="839"/>
      <c r="Y455" s="839"/>
      <c r="Z455" s="839"/>
    </row>
    <row r="456" spans="2:26" s="1239" customFormat="1" ht="19.899999999999999" customHeight="1">
      <c r="B456" s="839"/>
      <c r="C456" s="839"/>
      <c r="D456" s="839"/>
      <c r="E456" s="839"/>
      <c r="F456" s="839"/>
      <c r="G456" s="839"/>
      <c r="H456" s="839"/>
      <c r="I456" s="839"/>
      <c r="J456" s="839"/>
      <c r="K456" s="839"/>
      <c r="L456" s="839"/>
      <c r="M456" s="839"/>
      <c r="N456" s="345"/>
      <c r="O456" s="839"/>
      <c r="P456" s="839"/>
      <c r="Q456" s="839"/>
      <c r="R456" s="839"/>
      <c r="S456" s="839"/>
      <c r="T456" s="839"/>
      <c r="U456" s="839"/>
      <c r="V456" s="839"/>
      <c r="W456" s="839"/>
      <c r="X456" s="839"/>
      <c r="Y456" s="839"/>
      <c r="Z456" s="839"/>
    </row>
    <row r="457" spans="2:26" s="1239" customFormat="1" ht="19.899999999999999" customHeight="1">
      <c r="B457" s="839"/>
      <c r="C457" s="839"/>
      <c r="D457" s="839"/>
      <c r="E457" s="839"/>
      <c r="F457" s="839"/>
      <c r="G457" s="839"/>
      <c r="H457" s="839"/>
      <c r="I457" s="839"/>
      <c r="J457" s="839"/>
      <c r="K457" s="839"/>
      <c r="L457" s="839"/>
      <c r="M457" s="839"/>
      <c r="N457" s="345"/>
      <c r="O457" s="839"/>
      <c r="P457" s="839"/>
      <c r="Q457" s="839"/>
      <c r="R457" s="839"/>
      <c r="S457" s="839"/>
      <c r="T457" s="839"/>
      <c r="U457" s="839"/>
      <c r="V457" s="839"/>
      <c r="W457" s="839"/>
      <c r="X457" s="839"/>
      <c r="Y457" s="839"/>
      <c r="Z457" s="839"/>
    </row>
    <row r="458" spans="2:26" s="1239" customFormat="1" ht="19.899999999999999" customHeight="1">
      <c r="B458" s="839"/>
      <c r="C458" s="839"/>
      <c r="D458" s="839"/>
      <c r="E458" s="839"/>
      <c r="F458" s="839"/>
      <c r="G458" s="839"/>
      <c r="H458" s="839"/>
      <c r="I458" s="839"/>
      <c r="J458" s="839"/>
      <c r="K458" s="839"/>
      <c r="L458" s="839"/>
      <c r="M458" s="839"/>
      <c r="N458" s="345"/>
      <c r="O458" s="839"/>
      <c r="P458" s="839"/>
      <c r="Q458" s="839"/>
      <c r="R458" s="839"/>
      <c r="S458" s="839"/>
      <c r="T458" s="839"/>
      <c r="U458" s="839"/>
      <c r="V458" s="839"/>
      <c r="W458" s="839"/>
      <c r="X458" s="839"/>
      <c r="Y458" s="839"/>
      <c r="Z458" s="839"/>
    </row>
    <row r="459" spans="2:26" s="1239" customFormat="1" ht="19.899999999999999" customHeight="1">
      <c r="B459" s="839"/>
      <c r="C459" s="839"/>
      <c r="D459" s="839"/>
      <c r="E459" s="839"/>
      <c r="F459" s="839"/>
      <c r="G459" s="839"/>
      <c r="H459" s="839"/>
      <c r="I459" s="839"/>
      <c r="J459" s="839"/>
      <c r="K459" s="839"/>
      <c r="L459" s="839"/>
      <c r="M459" s="839"/>
      <c r="N459" s="345"/>
      <c r="O459" s="839"/>
      <c r="P459" s="839"/>
      <c r="Q459" s="839"/>
      <c r="R459" s="839"/>
      <c r="S459" s="839"/>
      <c r="T459" s="839"/>
      <c r="U459" s="839"/>
      <c r="V459" s="839"/>
      <c r="W459" s="839"/>
      <c r="X459" s="839"/>
      <c r="Y459" s="839"/>
      <c r="Z459" s="839"/>
    </row>
    <row r="460" spans="2:26" s="1239" customFormat="1" ht="19.899999999999999" customHeight="1">
      <c r="B460" s="839"/>
      <c r="C460" s="839"/>
      <c r="D460" s="839"/>
      <c r="E460" s="839"/>
      <c r="F460" s="839"/>
      <c r="G460" s="839"/>
      <c r="H460" s="839"/>
      <c r="I460" s="839"/>
      <c r="J460" s="839"/>
      <c r="K460" s="839"/>
      <c r="L460" s="839"/>
      <c r="M460" s="839"/>
      <c r="N460" s="345"/>
      <c r="O460" s="839"/>
      <c r="P460" s="839"/>
      <c r="Q460" s="839"/>
      <c r="R460" s="839"/>
      <c r="S460" s="839"/>
      <c r="T460" s="839"/>
      <c r="U460" s="839"/>
      <c r="V460" s="839"/>
      <c r="W460" s="839"/>
      <c r="X460" s="839"/>
      <c r="Y460" s="839"/>
      <c r="Z460" s="839"/>
    </row>
    <row r="461" spans="2:26" s="1239" customFormat="1" ht="19.899999999999999" customHeight="1">
      <c r="B461" s="839"/>
      <c r="C461" s="839"/>
      <c r="D461" s="839"/>
      <c r="E461" s="839"/>
      <c r="F461" s="839"/>
      <c r="G461" s="839"/>
      <c r="H461" s="839"/>
      <c r="I461" s="839"/>
      <c r="J461" s="839"/>
      <c r="K461" s="839"/>
      <c r="L461" s="839"/>
      <c r="M461" s="839"/>
      <c r="N461" s="345"/>
      <c r="O461" s="839"/>
      <c r="P461" s="839"/>
      <c r="Q461" s="839"/>
      <c r="R461" s="839"/>
      <c r="S461" s="839"/>
      <c r="T461" s="839"/>
      <c r="U461" s="839"/>
      <c r="V461" s="839"/>
      <c r="W461" s="839"/>
      <c r="X461" s="839"/>
      <c r="Y461" s="839"/>
      <c r="Z461" s="839"/>
    </row>
    <row r="462" spans="2:26" s="1239" customFormat="1" ht="19.899999999999999" customHeight="1">
      <c r="B462" s="839"/>
      <c r="C462" s="839"/>
      <c r="D462" s="839"/>
      <c r="E462" s="839"/>
      <c r="F462" s="839"/>
      <c r="G462" s="839"/>
      <c r="H462" s="839"/>
      <c r="I462" s="839"/>
      <c r="J462" s="839"/>
      <c r="K462" s="839"/>
      <c r="L462" s="839"/>
      <c r="M462" s="839"/>
      <c r="N462" s="345"/>
      <c r="O462" s="839"/>
      <c r="P462" s="839"/>
      <c r="Q462" s="839"/>
      <c r="R462" s="839"/>
      <c r="S462" s="839"/>
      <c r="T462" s="839"/>
      <c r="U462" s="839"/>
      <c r="V462" s="839"/>
      <c r="W462" s="839"/>
      <c r="X462" s="839"/>
      <c r="Y462" s="839"/>
      <c r="Z462" s="839"/>
    </row>
    <row r="463" spans="2:26" s="1239" customFormat="1" ht="19.899999999999999" customHeight="1">
      <c r="B463" s="839"/>
      <c r="C463" s="839"/>
      <c r="D463" s="839"/>
      <c r="E463" s="839"/>
      <c r="F463" s="839"/>
      <c r="G463" s="839"/>
      <c r="H463" s="839"/>
      <c r="I463" s="839"/>
      <c r="J463" s="839"/>
      <c r="K463" s="839"/>
      <c r="L463" s="839"/>
      <c r="M463" s="839"/>
      <c r="N463" s="345"/>
      <c r="O463" s="839"/>
      <c r="P463" s="839"/>
      <c r="Q463" s="839"/>
      <c r="R463" s="839"/>
      <c r="S463" s="839"/>
      <c r="T463" s="839"/>
      <c r="U463" s="839"/>
      <c r="V463" s="839"/>
      <c r="W463" s="839"/>
      <c r="X463" s="839"/>
      <c r="Y463" s="839"/>
      <c r="Z463" s="839"/>
    </row>
    <row r="464" spans="2:26" s="1239" customFormat="1" ht="19.899999999999999" customHeight="1">
      <c r="B464" s="839"/>
      <c r="C464" s="839"/>
      <c r="D464" s="839"/>
      <c r="E464" s="839"/>
      <c r="F464" s="839"/>
      <c r="G464" s="839"/>
      <c r="H464" s="839"/>
      <c r="I464" s="839"/>
      <c r="J464" s="839"/>
      <c r="K464" s="839"/>
      <c r="L464" s="839"/>
      <c r="M464" s="839"/>
      <c r="N464" s="345"/>
      <c r="O464" s="839"/>
      <c r="P464" s="839"/>
      <c r="Q464" s="839"/>
      <c r="R464" s="839"/>
      <c r="S464" s="839"/>
      <c r="T464" s="839"/>
      <c r="U464" s="839"/>
      <c r="V464" s="839"/>
      <c r="W464" s="839"/>
      <c r="X464" s="839"/>
      <c r="Y464" s="839"/>
      <c r="Z464" s="839"/>
    </row>
    <row r="465" spans="2:26" s="1239" customFormat="1" ht="19.899999999999999" customHeight="1">
      <c r="B465" s="839"/>
      <c r="C465" s="839"/>
      <c r="D465" s="839"/>
      <c r="E465" s="839"/>
      <c r="F465" s="839"/>
      <c r="G465" s="839"/>
      <c r="H465" s="839"/>
      <c r="I465" s="839"/>
      <c r="J465" s="839"/>
      <c r="K465" s="839"/>
      <c r="L465" s="839"/>
      <c r="M465" s="839"/>
      <c r="N465" s="345"/>
      <c r="O465" s="839"/>
      <c r="P465" s="839"/>
      <c r="Q465" s="839"/>
      <c r="R465" s="839"/>
      <c r="S465" s="839"/>
      <c r="T465" s="839"/>
      <c r="U465" s="839"/>
      <c r="V465" s="839"/>
      <c r="W465" s="839"/>
      <c r="X465" s="839"/>
      <c r="Y465" s="839"/>
      <c r="Z465" s="839"/>
    </row>
    <row r="466" spans="2:26" s="1239" customFormat="1" ht="19.899999999999999" customHeight="1">
      <c r="B466" s="839"/>
      <c r="C466" s="839"/>
      <c r="D466" s="839"/>
      <c r="E466" s="839"/>
      <c r="F466" s="839"/>
      <c r="G466" s="839"/>
      <c r="H466" s="839"/>
      <c r="I466" s="839"/>
      <c r="J466" s="839"/>
      <c r="K466" s="839"/>
      <c r="L466" s="839"/>
      <c r="M466" s="839"/>
      <c r="N466" s="345"/>
      <c r="O466" s="839"/>
      <c r="P466" s="839"/>
      <c r="Q466" s="839"/>
      <c r="R466" s="839"/>
      <c r="S466" s="839"/>
      <c r="T466" s="839"/>
      <c r="U466" s="839"/>
      <c r="V466" s="839"/>
      <c r="W466" s="839"/>
      <c r="X466" s="839"/>
      <c r="Y466" s="839"/>
      <c r="Z466" s="839"/>
    </row>
    <row r="467" spans="2:26" s="1239" customFormat="1" ht="19.899999999999999" customHeight="1">
      <c r="B467" s="839"/>
      <c r="C467" s="839"/>
      <c r="D467" s="839"/>
      <c r="E467" s="839"/>
      <c r="F467" s="839"/>
      <c r="G467" s="839"/>
      <c r="H467" s="839"/>
      <c r="I467" s="839"/>
      <c r="J467" s="839"/>
      <c r="K467" s="839"/>
      <c r="L467" s="839"/>
      <c r="M467" s="839"/>
      <c r="N467" s="345"/>
      <c r="O467" s="839"/>
      <c r="P467" s="839"/>
      <c r="Q467" s="839"/>
      <c r="R467" s="839"/>
      <c r="S467" s="839"/>
      <c r="T467" s="839"/>
      <c r="U467" s="839"/>
      <c r="V467" s="839"/>
      <c r="W467" s="839"/>
      <c r="X467" s="839"/>
      <c r="Y467" s="839"/>
      <c r="Z467" s="839"/>
    </row>
    <row r="468" spans="2:26" s="1239" customFormat="1" ht="19.899999999999999" customHeight="1">
      <c r="B468" s="839"/>
      <c r="C468" s="839"/>
      <c r="D468" s="839"/>
      <c r="E468" s="839"/>
      <c r="F468" s="839"/>
      <c r="G468" s="839"/>
      <c r="H468" s="839"/>
      <c r="I468" s="839"/>
      <c r="J468" s="839"/>
      <c r="K468" s="839"/>
      <c r="L468" s="839"/>
      <c r="M468" s="839"/>
      <c r="N468" s="345"/>
      <c r="O468" s="839"/>
      <c r="P468" s="839"/>
      <c r="Q468" s="839"/>
      <c r="R468" s="839"/>
      <c r="S468" s="839"/>
      <c r="T468" s="839"/>
      <c r="U468" s="839"/>
      <c r="V468" s="839"/>
      <c r="W468" s="839"/>
      <c r="X468" s="839"/>
      <c r="Y468" s="839"/>
      <c r="Z468" s="839"/>
    </row>
    <row r="469" spans="2:26" s="1239" customFormat="1" ht="19.899999999999999" customHeight="1">
      <c r="B469" s="839"/>
      <c r="C469" s="839"/>
      <c r="D469" s="839"/>
      <c r="E469" s="839"/>
      <c r="F469" s="839"/>
      <c r="G469" s="839"/>
      <c r="H469" s="839"/>
      <c r="I469" s="839"/>
      <c r="J469" s="839"/>
      <c r="K469" s="839"/>
      <c r="L469" s="839"/>
      <c r="M469" s="839"/>
      <c r="N469" s="345"/>
      <c r="O469" s="839"/>
      <c r="P469" s="839"/>
      <c r="Q469" s="839"/>
      <c r="R469" s="839"/>
      <c r="S469" s="839"/>
      <c r="T469" s="839"/>
      <c r="U469" s="839"/>
      <c r="V469" s="839"/>
      <c r="W469" s="839"/>
      <c r="X469" s="839"/>
      <c r="Y469" s="839"/>
      <c r="Z469" s="839"/>
    </row>
    <row r="470" spans="2:26" s="1239" customFormat="1" ht="19.899999999999999" customHeight="1">
      <c r="B470" s="839"/>
      <c r="C470" s="839"/>
      <c r="D470" s="839"/>
      <c r="E470" s="839"/>
      <c r="F470" s="839"/>
      <c r="G470" s="839"/>
      <c r="H470" s="839"/>
      <c r="I470" s="839"/>
      <c r="J470" s="839"/>
      <c r="K470" s="839"/>
      <c r="L470" s="839"/>
      <c r="M470" s="839"/>
      <c r="N470" s="345"/>
      <c r="O470" s="839"/>
      <c r="P470" s="839"/>
      <c r="Q470" s="839"/>
      <c r="R470" s="839"/>
      <c r="S470" s="839"/>
      <c r="T470" s="839"/>
      <c r="U470" s="839"/>
      <c r="V470" s="839"/>
      <c r="W470" s="839"/>
      <c r="X470" s="839"/>
      <c r="Y470" s="839"/>
      <c r="Z470" s="839"/>
    </row>
    <row r="471" spans="2:26" s="1239" customFormat="1" ht="19.899999999999999" customHeight="1">
      <c r="B471" s="839"/>
      <c r="C471" s="839"/>
      <c r="D471" s="839"/>
      <c r="E471" s="839"/>
      <c r="F471" s="839"/>
      <c r="G471" s="839"/>
      <c r="H471" s="839"/>
      <c r="I471" s="839"/>
      <c r="J471" s="839"/>
      <c r="K471" s="839"/>
      <c r="L471" s="839"/>
      <c r="M471" s="839"/>
      <c r="N471" s="345"/>
      <c r="O471" s="839"/>
      <c r="P471" s="839"/>
      <c r="Q471" s="839"/>
      <c r="R471" s="839"/>
      <c r="S471" s="839"/>
      <c r="T471" s="839"/>
      <c r="U471" s="839"/>
      <c r="V471" s="839"/>
      <c r="W471" s="839"/>
      <c r="X471" s="839"/>
      <c r="Y471" s="839"/>
      <c r="Z471" s="839"/>
    </row>
    <row r="472" spans="2:26" s="1239" customFormat="1" ht="19.899999999999999" customHeight="1">
      <c r="B472" s="839"/>
      <c r="C472" s="839"/>
      <c r="D472" s="839"/>
      <c r="E472" s="839"/>
      <c r="F472" s="839"/>
      <c r="G472" s="839"/>
      <c r="H472" s="839"/>
      <c r="I472" s="839"/>
      <c r="J472" s="839"/>
      <c r="K472" s="839"/>
      <c r="L472" s="839"/>
      <c r="M472" s="839"/>
      <c r="N472" s="345"/>
      <c r="O472" s="839"/>
      <c r="P472" s="839"/>
      <c r="Q472" s="839"/>
      <c r="R472" s="839"/>
      <c r="S472" s="839"/>
      <c r="T472" s="839"/>
      <c r="U472" s="839"/>
      <c r="V472" s="839"/>
      <c r="W472" s="839"/>
      <c r="X472" s="839"/>
      <c r="Y472" s="839"/>
      <c r="Z472" s="839"/>
    </row>
    <row r="473" spans="2:26" s="1239" customFormat="1" ht="19.899999999999999" customHeight="1">
      <c r="B473" s="839"/>
      <c r="C473" s="839"/>
      <c r="D473" s="839"/>
      <c r="E473" s="839"/>
      <c r="F473" s="839"/>
      <c r="G473" s="839"/>
      <c r="H473" s="839"/>
      <c r="I473" s="839"/>
      <c r="J473" s="839"/>
      <c r="K473" s="839"/>
      <c r="L473" s="839"/>
      <c r="M473" s="839"/>
      <c r="N473" s="345"/>
      <c r="O473" s="839"/>
      <c r="P473" s="839"/>
      <c r="Q473" s="839"/>
      <c r="R473" s="839"/>
      <c r="S473" s="839"/>
      <c r="T473" s="839"/>
      <c r="U473" s="839"/>
      <c r="V473" s="839"/>
      <c r="W473" s="839"/>
      <c r="X473" s="839"/>
      <c r="Y473" s="839"/>
      <c r="Z473" s="839"/>
    </row>
    <row r="474" spans="2:26" s="1239" customFormat="1" ht="19.899999999999999" customHeight="1">
      <c r="B474" s="839"/>
      <c r="C474" s="839"/>
      <c r="D474" s="839"/>
      <c r="E474" s="839"/>
      <c r="F474" s="839"/>
      <c r="G474" s="839"/>
      <c r="H474" s="839"/>
      <c r="I474" s="839"/>
      <c r="J474" s="839"/>
      <c r="K474" s="839"/>
      <c r="L474" s="839"/>
      <c r="M474" s="839"/>
      <c r="N474" s="345"/>
      <c r="O474" s="839"/>
      <c r="P474" s="839"/>
      <c r="Q474" s="839"/>
      <c r="R474" s="839"/>
      <c r="S474" s="839"/>
      <c r="T474" s="839"/>
      <c r="U474" s="839"/>
      <c r="V474" s="839"/>
      <c r="W474" s="839"/>
      <c r="X474" s="839"/>
      <c r="Y474" s="839"/>
      <c r="Z474" s="839"/>
    </row>
    <row r="475" spans="2:26" s="1239" customFormat="1" ht="19.899999999999999" customHeight="1">
      <c r="B475" s="839"/>
      <c r="C475" s="839"/>
      <c r="D475" s="839"/>
      <c r="E475" s="839"/>
      <c r="F475" s="839"/>
      <c r="G475" s="839"/>
      <c r="H475" s="839"/>
      <c r="I475" s="839"/>
      <c r="J475" s="839"/>
      <c r="K475" s="839"/>
      <c r="L475" s="839"/>
      <c r="M475" s="839"/>
      <c r="N475" s="345"/>
      <c r="O475" s="839"/>
      <c r="P475" s="839"/>
      <c r="Q475" s="839"/>
      <c r="R475" s="839"/>
      <c r="S475" s="839"/>
      <c r="T475" s="839"/>
      <c r="U475" s="839"/>
      <c r="V475" s="839"/>
      <c r="W475" s="839"/>
      <c r="X475" s="839"/>
      <c r="Y475" s="839"/>
      <c r="Z475" s="839"/>
    </row>
    <row r="476" spans="2:26" s="1239" customFormat="1" ht="19.899999999999999" customHeight="1">
      <c r="B476" s="839"/>
      <c r="C476" s="839"/>
      <c r="D476" s="839"/>
      <c r="E476" s="839"/>
      <c r="F476" s="839"/>
      <c r="G476" s="839"/>
      <c r="H476" s="839"/>
      <c r="I476" s="839"/>
      <c r="J476" s="839"/>
      <c r="K476" s="839"/>
      <c r="L476" s="839"/>
      <c r="M476" s="839"/>
      <c r="N476" s="345"/>
      <c r="O476" s="839"/>
      <c r="P476" s="839"/>
      <c r="Q476" s="839"/>
      <c r="R476" s="839"/>
      <c r="S476" s="839"/>
      <c r="T476" s="839"/>
      <c r="U476" s="839"/>
      <c r="V476" s="839"/>
      <c r="W476" s="839"/>
      <c r="X476" s="839"/>
      <c r="Y476" s="839"/>
      <c r="Z476" s="839"/>
    </row>
    <row r="477" spans="2:26" s="1239" customFormat="1" ht="19.899999999999999" customHeight="1">
      <c r="B477" s="839"/>
      <c r="C477" s="839"/>
      <c r="D477" s="839"/>
      <c r="E477" s="839"/>
      <c r="F477" s="839"/>
      <c r="G477" s="839"/>
      <c r="H477" s="839"/>
      <c r="I477" s="839"/>
      <c r="J477" s="839"/>
      <c r="K477" s="839"/>
      <c r="L477" s="839"/>
      <c r="M477" s="839"/>
      <c r="N477" s="345"/>
      <c r="O477" s="839"/>
      <c r="P477" s="839"/>
      <c r="Q477" s="839"/>
      <c r="R477" s="839"/>
      <c r="S477" s="839"/>
      <c r="T477" s="839"/>
      <c r="U477" s="839"/>
      <c r="V477" s="839"/>
      <c r="W477" s="839"/>
      <c r="X477" s="839"/>
      <c r="Y477" s="839"/>
      <c r="Z477" s="839"/>
    </row>
    <row r="478" spans="2:26" s="1239" customFormat="1" ht="19.899999999999999" customHeight="1">
      <c r="B478" s="839"/>
      <c r="C478" s="839"/>
      <c r="D478" s="839"/>
      <c r="E478" s="839"/>
      <c r="F478" s="839"/>
      <c r="G478" s="839"/>
      <c r="H478" s="839"/>
      <c r="I478" s="839"/>
      <c r="J478" s="839"/>
      <c r="K478" s="839"/>
      <c r="L478" s="839"/>
      <c r="M478" s="839"/>
      <c r="N478" s="345"/>
      <c r="O478" s="839"/>
      <c r="P478" s="839"/>
      <c r="Q478" s="839"/>
      <c r="R478" s="839"/>
      <c r="S478" s="839"/>
      <c r="T478" s="839"/>
      <c r="U478" s="839"/>
      <c r="V478" s="839"/>
      <c r="W478" s="839"/>
      <c r="X478" s="839"/>
      <c r="Y478" s="839"/>
      <c r="Z478" s="839"/>
    </row>
    <row r="479" spans="2:26" s="1239" customFormat="1" ht="19.899999999999999" customHeight="1">
      <c r="B479" s="839"/>
      <c r="C479" s="839"/>
      <c r="D479" s="839"/>
      <c r="E479" s="839"/>
      <c r="F479" s="839"/>
      <c r="G479" s="839"/>
      <c r="H479" s="839"/>
      <c r="I479" s="839"/>
      <c r="J479" s="839"/>
      <c r="K479" s="839"/>
      <c r="L479" s="839"/>
      <c r="M479" s="839"/>
      <c r="N479" s="345"/>
      <c r="O479" s="839"/>
      <c r="P479" s="839"/>
      <c r="Q479" s="839"/>
      <c r="R479" s="839"/>
      <c r="S479" s="839"/>
      <c r="T479" s="839"/>
      <c r="U479" s="839"/>
      <c r="V479" s="839"/>
      <c r="W479" s="839"/>
      <c r="X479" s="839"/>
      <c r="Y479" s="839"/>
      <c r="Z479" s="839"/>
    </row>
    <row r="480" spans="2:26" s="1239" customFormat="1" ht="19.899999999999999" customHeight="1">
      <c r="B480" s="839"/>
      <c r="C480" s="839"/>
      <c r="D480" s="839"/>
      <c r="E480" s="839"/>
      <c r="F480" s="839"/>
      <c r="G480" s="839"/>
      <c r="H480" s="839"/>
      <c r="I480" s="839"/>
      <c r="J480" s="839"/>
      <c r="K480" s="839"/>
      <c r="L480" s="839"/>
      <c r="M480" s="839"/>
      <c r="N480" s="345"/>
      <c r="O480" s="839"/>
      <c r="P480" s="839"/>
      <c r="Q480" s="839"/>
      <c r="R480" s="839"/>
      <c r="S480" s="839"/>
      <c r="T480" s="839"/>
      <c r="U480" s="839"/>
      <c r="V480" s="839"/>
      <c r="W480" s="839"/>
      <c r="X480" s="839"/>
      <c r="Y480" s="839"/>
      <c r="Z480" s="839"/>
    </row>
    <row r="481" spans="2:26" s="1239" customFormat="1" ht="19.899999999999999" customHeight="1">
      <c r="B481" s="839"/>
      <c r="C481" s="839"/>
      <c r="D481" s="839"/>
      <c r="E481" s="839"/>
      <c r="F481" s="839"/>
      <c r="G481" s="839"/>
      <c r="H481" s="839"/>
      <c r="I481" s="839"/>
      <c r="J481" s="839"/>
      <c r="K481" s="839"/>
      <c r="L481" s="839"/>
      <c r="M481" s="839"/>
      <c r="N481" s="345"/>
      <c r="O481" s="839"/>
      <c r="P481" s="839"/>
      <c r="Q481" s="839"/>
      <c r="R481" s="839"/>
      <c r="S481" s="839"/>
      <c r="T481" s="839"/>
      <c r="U481" s="839"/>
      <c r="V481" s="839"/>
      <c r="W481" s="839"/>
      <c r="X481" s="839"/>
      <c r="Y481" s="839"/>
      <c r="Z481" s="839"/>
    </row>
    <row r="482" spans="2:26" s="1239" customFormat="1" ht="19.899999999999999" customHeight="1">
      <c r="B482" s="839"/>
      <c r="C482" s="839"/>
      <c r="D482" s="839"/>
      <c r="E482" s="839"/>
      <c r="F482" s="839"/>
      <c r="G482" s="839"/>
      <c r="H482" s="839"/>
      <c r="I482" s="839"/>
      <c r="J482" s="839"/>
      <c r="K482" s="839"/>
      <c r="L482" s="839"/>
      <c r="M482" s="839"/>
      <c r="N482" s="345"/>
      <c r="O482" s="839"/>
      <c r="P482" s="839"/>
      <c r="Q482" s="839"/>
      <c r="R482" s="839"/>
      <c r="S482" s="839"/>
      <c r="T482" s="839"/>
      <c r="U482" s="839"/>
      <c r="V482" s="839"/>
      <c r="W482" s="839"/>
      <c r="X482" s="839"/>
      <c r="Y482" s="839"/>
      <c r="Z482" s="839"/>
    </row>
    <row r="483" spans="2:26" s="1239" customFormat="1" ht="19.899999999999999" customHeight="1">
      <c r="B483" s="839"/>
      <c r="C483" s="839"/>
      <c r="D483" s="839"/>
      <c r="E483" s="839"/>
      <c r="F483" s="839"/>
      <c r="G483" s="839"/>
      <c r="H483" s="839"/>
      <c r="I483" s="839"/>
      <c r="J483" s="839"/>
      <c r="K483" s="839"/>
      <c r="L483" s="839"/>
      <c r="M483" s="839"/>
      <c r="N483" s="345"/>
      <c r="O483" s="839"/>
      <c r="P483" s="839"/>
      <c r="Q483" s="839"/>
      <c r="R483" s="839"/>
      <c r="S483" s="839"/>
      <c r="T483" s="839"/>
      <c r="U483" s="839"/>
      <c r="V483" s="839"/>
      <c r="W483" s="839"/>
      <c r="X483" s="839"/>
      <c r="Y483" s="839"/>
      <c r="Z483" s="839"/>
    </row>
    <row r="484" spans="2:26" s="1239" customFormat="1" ht="19.899999999999999" customHeight="1">
      <c r="B484" s="839"/>
      <c r="C484" s="839"/>
      <c r="D484" s="839"/>
      <c r="E484" s="839"/>
      <c r="F484" s="839"/>
      <c r="G484" s="839"/>
      <c r="H484" s="839"/>
      <c r="I484" s="839"/>
      <c r="J484" s="839"/>
      <c r="K484" s="839"/>
      <c r="L484" s="839"/>
      <c r="M484" s="839"/>
      <c r="N484" s="345"/>
      <c r="O484" s="839"/>
      <c r="P484" s="839"/>
      <c r="Q484" s="839"/>
      <c r="R484" s="839"/>
      <c r="S484" s="839"/>
      <c r="T484" s="839"/>
      <c r="U484" s="839"/>
      <c r="V484" s="839"/>
      <c r="W484" s="839"/>
      <c r="X484" s="839"/>
      <c r="Y484" s="839"/>
      <c r="Z484" s="839"/>
    </row>
    <row r="485" spans="2:26" s="1239" customFormat="1" ht="19.899999999999999" customHeight="1">
      <c r="B485" s="839"/>
      <c r="C485" s="839"/>
      <c r="D485" s="839"/>
      <c r="E485" s="839"/>
      <c r="F485" s="839"/>
      <c r="G485" s="839"/>
      <c r="H485" s="839"/>
      <c r="I485" s="839"/>
      <c r="J485" s="839"/>
      <c r="K485" s="839"/>
      <c r="L485" s="839"/>
      <c r="M485" s="839"/>
      <c r="N485" s="345"/>
      <c r="O485" s="839"/>
      <c r="P485" s="839"/>
      <c r="Q485" s="839"/>
      <c r="R485" s="839"/>
      <c r="S485" s="839"/>
      <c r="T485" s="839"/>
      <c r="U485" s="839"/>
      <c r="V485" s="839"/>
      <c r="W485" s="839"/>
      <c r="X485" s="839"/>
      <c r="Y485" s="839"/>
      <c r="Z485" s="839"/>
    </row>
    <row r="486" spans="2:26" s="1239" customFormat="1" ht="19.899999999999999" customHeight="1">
      <c r="B486" s="839"/>
      <c r="C486" s="839"/>
      <c r="D486" s="839"/>
      <c r="E486" s="839"/>
      <c r="F486" s="839"/>
      <c r="G486" s="839"/>
      <c r="H486" s="839"/>
      <c r="I486" s="839"/>
      <c r="J486" s="839"/>
      <c r="K486" s="839"/>
      <c r="L486" s="839"/>
      <c r="M486" s="839"/>
      <c r="N486" s="345"/>
      <c r="O486" s="839"/>
      <c r="P486" s="839"/>
      <c r="Q486" s="839"/>
      <c r="R486" s="839"/>
      <c r="S486" s="839"/>
      <c r="T486" s="839"/>
      <c r="U486" s="839"/>
      <c r="V486" s="839"/>
      <c r="W486" s="839"/>
      <c r="X486" s="839"/>
      <c r="Y486" s="839"/>
      <c r="Z486" s="839"/>
    </row>
    <row r="487" spans="2:26" s="1239" customFormat="1" ht="19.899999999999999" customHeight="1">
      <c r="B487" s="839"/>
      <c r="C487" s="839"/>
      <c r="D487" s="839"/>
      <c r="E487" s="839"/>
      <c r="F487" s="839"/>
      <c r="G487" s="839"/>
      <c r="H487" s="839"/>
      <c r="I487" s="839"/>
      <c r="J487" s="839"/>
      <c r="K487" s="839"/>
      <c r="L487" s="839"/>
      <c r="M487" s="839"/>
      <c r="N487" s="345"/>
      <c r="O487" s="839"/>
      <c r="P487" s="839"/>
      <c r="Q487" s="839"/>
      <c r="R487" s="839"/>
      <c r="S487" s="839"/>
      <c r="T487" s="839"/>
      <c r="U487" s="839"/>
      <c r="V487" s="839"/>
      <c r="W487" s="839"/>
      <c r="X487" s="839"/>
      <c r="Y487" s="839"/>
      <c r="Z487" s="839"/>
    </row>
    <row r="488" spans="2:26" s="1239" customFormat="1" ht="19.899999999999999" customHeight="1">
      <c r="B488" s="839"/>
      <c r="C488" s="839"/>
      <c r="D488" s="839"/>
      <c r="E488" s="839"/>
      <c r="F488" s="839"/>
      <c r="G488" s="839"/>
      <c r="H488" s="839"/>
      <c r="I488" s="839"/>
      <c r="J488" s="839"/>
      <c r="K488" s="839"/>
      <c r="L488" s="839"/>
      <c r="M488" s="839"/>
      <c r="N488" s="345"/>
      <c r="O488" s="839"/>
      <c r="P488" s="839"/>
      <c r="Q488" s="839"/>
      <c r="R488" s="839"/>
      <c r="S488" s="839"/>
      <c r="T488" s="839"/>
      <c r="U488" s="839"/>
      <c r="V488" s="839"/>
      <c r="W488" s="839"/>
      <c r="X488" s="839"/>
      <c r="Y488" s="839"/>
      <c r="Z488" s="839"/>
    </row>
    <row r="489" spans="2:26" s="1239" customFormat="1" ht="19.899999999999999" customHeight="1">
      <c r="B489" s="839"/>
      <c r="C489" s="839"/>
      <c r="D489" s="839"/>
      <c r="E489" s="839"/>
      <c r="F489" s="839"/>
      <c r="G489" s="839"/>
      <c r="H489" s="839"/>
      <c r="I489" s="839"/>
      <c r="J489" s="839"/>
      <c r="K489" s="839"/>
      <c r="L489" s="839"/>
      <c r="M489" s="839"/>
      <c r="N489" s="345"/>
      <c r="O489" s="839"/>
      <c r="P489" s="839"/>
      <c r="Q489" s="839"/>
      <c r="R489" s="839"/>
      <c r="S489" s="839"/>
      <c r="T489" s="839"/>
      <c r="U489" s="839"/>
      <c r="V489" s="839"/>
      <c r="W489" s="839"/>
      <c r="X489" s="839"/>
      <c r="Y489" s="839"/>
      <c r="Z489" s="839"/>
    </row>
    <row r="490" spans="2:26" s="1239" customFormat="1" ht="19.899999999999999" customHeight="1">
      <c r="B490" s="839"/>
      <c r="C490" s="839"/>
      <c r="D490" s="839"/>
      <c r="E490" s="839"/>
      <c r="F490" s="839"/>
      <c r="G490" s="839"/>
      <c r="H490" s="839"/>
      <c r="I490" s="839"/>
      <c r="J490" s="839"/>
      <c r="K490" s="839"/>
      <c r="L490" s="839"/>
      <c r="M490" s="839"/>
      <c r="N490" s="345"/>
      <c r="O490" s="839"/>
      <c r="P490" s="839"/>
      <c r="Q490" s="839"/>
      <c r="R490" s="839"/>
      <c r="S490" s="839"/>
      <c r="T490" s="839"/>
      <c r="U490" s="839"/>
      <c r="V490" s="839"/>
      <c r="W490" s="839"/>
      <c r="X490" s="839"/>
      <c r="Y490" s="839"/>
      <c r="Z490" s="839"/>
    </row>
    <row r="491" spans="2:26" s="1239" customFormat="1" ht="19.899999999999999" customHeight="1">
      <c r="B491" s="839"/>
      <c r="C491" s="839"/>
      <c r="D491" s="839"/>
      <c r="E491" s="839"/>
      <c r="F491" s="839"/>
      <c r="G491" s="839"/>
      <c r="H491" s="839"/>
      <c r="I491" s="839"/>
      <c r="J491" s="839"/>
      <c r="K491" s="839"/>
      <c r="L491" s="839"/>
      <c r="M491" s="839"/>
      <c r="N491" s="345"/>
      <c r="O491" s="839"/>
      <c r="P491" s="839"/>
      <c r="Q491" s="839"/>
      <c r="R491" s="839"/>
      <c r="S491" s="839"/>
      <c r="T491" s="839"/>
      <c r="U491" s="839"/>
      <c r="V491" s="839"/>
      <c r="W491" s="839"/>
      <c r="X491" s="839"/>
      <c r="Y491" s="839"/>
      <c r="Z491" s="839"/>
    </row>
    <row r="492" spans="2:26" s="1239" customFormat="1" ht="19.899999999999999" customHeight="1">
      <c r="B492" s="839"/>
      <c r="C492" s="839"/>
      <c r="D492" s="839"/>
      <c r="E492" s="839"/>
      <c r="F492" s="839"/>
      <c r="G492" s="839"/>
      <c r="H492" s="839"/>
      <c r="I492" s="839"/>
      <c r="J492" s="839"/>
      <c r="K492" s="839"/>
      <c r="L492" s="839"/>
      <c r="M492" s="839"/>
      <c r="N492" s="345"/>
      <c r="O492" s="839"/>
      <c r="P492" s="839"/>
      <c r="Q492" s="839"/>
      <c r="R492" s="839"/>
      <c r="S492" s="839"/>
      <c r="T492" s="839"/>
      <c r="U492" s="839"/>
      <c r="V492" s="839"/>
      <c r="W492" s="839"/>
      <c r="X492" s="839"/>
      <c r="Y492" s="839"/>
      <c r="Z492" s="839"/>
    </row>
    <row r="493" spans="2:26" s="1239" customFormat="1" ht="19.899999999999999" customHeight="1">
      <c r="B493" s="839"/>
      <c r="C493" s="839"/>
      <c r="D493" s="839"/>
      <c r="E493" s="839"/>
      <c r="F493" s="839"/>
      <c r="G493" s="839"/>
      <c r="H493" s="839"/>
      <c r="I493" s="839"/>
      <c r="J493" s="839"/>
      <c r="K493" s="839"/>
      <c r="L493" s="839"/>
      <c r="M493" s="839"/>
      <c r="N493" s="345"/>
      <c r="O493" s="839"/>
      <c r="P493" s="839"/>
      <c r="Q493" s="839"/>
      <c r="R493" s="839"/>
      <c r="S493" s="839"/>
      <c r="T493" s="839"/>
      <c r="U493" s="839"/>
      <c r="V493" s="839"/>
      <c r="W493" s="839"/>
      <c r="X493" s="839"/>
      <c r="Y493" s="839"/>
      <c r="Z493" s="839"/>
    </row>
    <row r="494" spans="2:26" s="1239" customFormat="1" ht="19.899999999999999" customHeight="1">
      <c r="B494" s="839"/>
      <c r="C494" s="839"/>
      <c r="D494" s="839"/>
      <c r="E494" s="839"/>
      <c r="F494" s="839"/>
      <c r="G494" s="839"/>
      <c r="H494" s="839"/>
      <c r="I494" s="839"/>
      <c r="J494" s="839"/>
      <c r="K494" s="839"/>
      <c r="L494" s="839"/>
      <c r="M494" s="839"/>
      <c r="N494" s="345"/>
      <c r="O494" s="839"/>
      <c r="P494" s="839"/>
      <c r="Q494" s="839"/>
      <c r="R494" s="839"/>
      <c r="S494" s="839"/>
      <c r="T494" s="839"/>
      <c r="U494" s="839"/>
      <c r="V494" s="839"/>
      <c r="W494" s="839"/>
      <c r="X494" s="839"/>
      <c r="Y494" s="839"/>
      <c r="Z494" s="839"/>
    </row>
    <row r="495" spans="2:26" s="1239" customFormat="1" ht="19.899999999999999" customHeight="1">
      <c r="B495" s="839"/>
      <c r="C495" s="839"/>
      <c r="D495" s="839"/>
      <c r="E495" s="839"/>
      <c r="F495" s="839"/>
      <c r="G495" s="839"/>
      <c r="H495" s="839"/>
      <c r="I495" s="839"/>
      <c r="J495" s="839"/>
      <c r="K495" s="839"/>
      <c r="L495" s="839"/>
      <c r="M495" s="839"/>
      <c r="N495" s="345"/>
      <c r="O495" s="839"/>
      <c r="P495" s="839"/>
      <c r="Q495" s="839"/>
      <c r="R495" s="839"/>
      <c r="S495" s="839"/>
      <c r="T495" s="839"/>
      <c r="U495" s="839"/>
      <c r="V495" s="839"/>
      <c r="W495" s="839"/>
      <c r="X495" s="839"/>
      <c r="Y495" s="839"/>
      <c r="Z495" s="839"/>
    </row>
    <row r="496" spans="2:26" s="1239" customFormat="1" ht="19.899999999999999" customHeight="1">
      <c r="B496" s="839"/>
      <c r="C496" s="839"/>
      <c r="D496" s="839"/>
      <c r="E496" s="839"/>
      <c r="F496" s="839"/>
      <c r="G496" s="839"/>
      <c r="H496" s="839"/>
      <c r="I496" s="839"/>
      <c r="J496" s="839"/>
      <c r="K496" s="839"/>
      <c r="L496" s="839"/>
      <c r="M496" s="839"/>
      <c r="N496" s="345"/>
      <c r="O496" s="839"/>
      <c r="P496" s="839"/>
      <c r="Q496" s="839"/>
      <c r="R496" s="839"/>
      <c r="S496" s="839"/>
      <c r="T496" s="839"/>
      <c r="U496" s="839"/>
      <c r="V496" s="839"/>
      <c r="W496" s="839"/>
      <c r="X496" s="839"/>
      <c r="Y496" s="839"/>
      <c r="Z496" s="839"/>
    </row>
    <row r="497" spans="2:26" s="1239" customFormat="1" ht="19.899999999999999" customHeight="1">
      <c r="B497" s="839"/>
      <c r="C497" s="839"/>
      <c r="D497" s="839"/>
      <c r="E497" s="839"/>
      <c r="F497" s="839"/>
      <c r="G497" s="839"/>
      <c r="H497" s="839"/>
      <c r="I497" s="839"/>
      <c r="J497" s="839"/>
      <c r="K497" s="839"/>
      <c r="L497" s="839"/>
      <c r="M497" s="839"/>
      <c r="N497" s="345"/>
      <c r="O497" s="839"/>
      <c r="P497" s="839"/>
      <c r="Q497" s="839"/>
      <c r="R497" s="839"/>
      <c r="S497" s="839"/>
      <c r="T497" s="839"/>
      <c r="U497" s="839"/>
      <c r="V497" s="839"/>
      <c r="W497" s="839"/>
      <c r="X497" s="839"/>
      <c r="Y497" s="839"/>
      <c r="Z497" s="839"/>
    </row>
    <row r="498" spans="2:26" s="1239" customFormat="1" ht="19.899999999999999" customHeight="1">
      <c r="B498" s="839"/>
      <c r="C498" s="839"/>
      <c r="D498" s="839"/>
      <c r="E498" s="839"/>
      <c r="F498" s="839"/>
      <c r="G498" s="839"/>
      <c r="H498" s="839"/>
      <c r="I498" s="839"/>
      <c r="J498" s="839"/>
      <c r="K498" s="839"/>
      <c r="L498" s="839"/>
      <c r="M498" s="839"/>
      <c r="N498" s="345"/>
      <c r="O498" s="839"/>
      <c r="P498" s="839"/>
      <c r="Q498" s="839"/>
      <c r="R498" s="839"/>
      <c r="S498" s="839"/>
      <c r="T498" s="839"/>
      <c r="U498" s="839"/>
      <c r="V498" s="839"/>
      <c r="W498" s="839"/>
      <c r="X498" s="839"/>
      <c r="Y498" s="839"/>
      <c r="Z498" s="839"/>
    </row>
    <row r="499" spans="2:26" s="1239" customFormat="1" ht="19.899999999999999" customHeight="1">
      <c r="B499" s="839"/>
      <c r="C499" s="839"/>
      <c r="D499" s="839"/>
      <c r="E499" s="839"/>
      <c r="F499" s="839"/>
      <c r="G499" s="839"/>
      <c r="H499" s="839"/>
      <c r="I499" s="839"/>
      <c r="J499" s="839"/>
      <c r="K499" s="839"/>
      <c r="L499" s="839"/>
      <c r="M499" s="839"/>
      <c r="N499" s="345"/>
      <c r="O499" s="839"/>
      <c r="P499" s="839"/>
      <c r="Q499" s="839"/>
      <c r="R499" s="839"/>
      <c r="S499" s="839"/>
      <c r="T499" s="839"/>
      <c r="U499" s="839"/>
      <c r="V499" s="839"/>
      <c r="W499" s="839"/>
      <c r="X499" s="839"/>
      <c r="Y499" s="839"/>
      <c r="Z499" s="839"/>
    </row>
    <row r="500" spans="2:26" s="1239" customFormat="1" ht="19.899999999999999" customHeight="1">
      <c r="B500" s="839"/>
      <c r="C500" s="839"/>
      <c r="D500" s="839"/>
      <c r="E500" s="839"/>
      <c r="F500" s="839"/>
      <c r="G500" s="839"/>
      <c r="H500" s="839"/>
      <c r="I500" s="839"/>
      <c r="J500" s="839"/>
      <c r="K500" s="839"/>
      <c r="L500" s="839"/>
      <c r="M500" s="839"/>
      <c r="N500" s="345"/>
      <c r="O500" s="839"/>
      <c r="P500" s="839"/>
      <c r="Q500" s="839"/>
      <c r="R500" s="839"/>
      <c r="S500" s="839"/>
      <c r="T500" s="839"/>
      <c r="U500" s="839"/>
      <c r="V500" s="839"/>
      <c r="W500" s="839"/>
      <c r="X500" s="839"/>
      <c r="Y500" s="839"/>
      <c r="Z500" s="839"/>
    </row>
    <row r="501" spans="2:26" s="1239" customFormat="1" ht="19.899999999999999" customHeight="1">
      <c r="B501" s="839"/>
      <c r="C501" s="839"/>
      <c r="D501" s="839"/>
      <c r="E501" s="839"/>
      <c r="F501" s="839"/>
      <c r="G501" s="839"/>
      <c r="H501" s="839"/>
      <c r="I501" s="839"/>
      <c r="J501" s="839"/>
      <c r="K501" s="839"/>
      <c r="L501" s="839"/>
      <c r="M501" s="839"/>
      <c r="N501" s="345"/>
      <c r="O501" s="839"/>
      <c r="P501" s="839"/>
      <c r="Q501" s="839"/>
      <c r="R501" s="839"/>
      <c r="S501" s="839"/>
      <c r="T501" s="839"/>
      <c r="U501" s="839"/>
      <c r="V501" s="839"/>
      <c r="W501" s="839"/>
      <c r="X501" s="839"/>
      <c r="Y501" s="839"/>
      <c r="Z501" s="839"/>
    </row>
    <row r="502" spans="2:26" s="1239" customFormat="1" ht="19.899999999999999" customHeight="1">
      <c r="B502" s="839"/>
      <c r="C502" s="839"/>
      <c r="D502" s="839"/>
      <c r="E502" s="839"/>
      <c r="F502" s="839"/>
      <c r="G502" s="839"/>
      <c r="H502" s="839"/>
      <c r="I502" s="839"/>
      <c r="J502" s="839"/>
      <c r="K502" s="839"/>
      <c r="L502" s="839"/>
      <c r="M502" s="839"/>
      <c r="N502" s="345"/>
      <c r="O502" s="839"/>
      <c r="P502" s="839"/>
      <c r="Q502" s="839"/>
      <c r="R502" s="839"/>
      <c r="S502" s="839"/>
      <c r="T502" s="839"/>
      <c r="U502" s="839"/>
      <c r="V502" s="839"/>
      <c r="W502" s="839"/>
      <c r="X502" s="839"/>
      <c r="Y502" s="839"/>
      <c r="Z502" s="839"/>
    </row>
    <row r="503" spans="2:26" s="1239" customFormat="1" ht="19.899999999999999" customHeight="1">
      <c r="B503" s="839"/>
      <c r="C503" s="839"/>
      <c r="D503" s="839"/>
      <c r="E503" s="839"/>
      <c r="F503" s="839"/>
      <c r="G503" s="839"/>
      <c r="H503" s="839"/>
      <c r="I503" s="839"/>
      <c r="J503" s="839"/>
      <c r="K503" s="839"/>
      <c r="L503" s="839"/>
      <c r="M503" s="839"/>
      <c r="N503" s="345"/>
      <c r="O503" s="839"/>
      <c r="P503" s="839"/>
      <c r="Q503" s="839"/>
      <c r="R503" s="839"/>
      <c r="S503" s="839"/>
      <c r="T503" s="839"/>
      <c r="U503" s="839"/>
      <c r="V503" s="839"/>
      <c r="W503" s="839"/>
      <c r="X503" s="839"/>
      <c r="Y503" s="839"/>
      <c r="Z503" s="839"/>
    </row>
    <row r="504" spans="2:26" s="1239" customFormat="1" ht="19.899999999999999" customHeight="1">
      <c r="B504" s="839"/>
      <c r="C504" s="839"/>
      <c r="D504" s="839"/>
      <c r="E504" s="839"/>
      <c r="F504" s="839"/>
      <c r="G504" s="839"/>
      <c r="H504" s="839"/>
      <c r="I504" s="839"/>
      <c r="J504" s="839"/>
      <c r="K504" s="839"/>
      <c r="L504" s="839"/>
      <c r="M504" s="839"/>
      <c r="N504" s="345"/>
      <c r="O504" s="839"/>
      <c r="P504" s="839"/>
      <c r="Q504" s="839"/>
      <c r="R504" s="839"/>
      <c r="S504" s="839"/>
      <c r="T504" s="839"/>
      <c r="U504" s="839"/>
      <c r="V504" s="839"/>
      <c r="W504" s="839"/>
      <c r="X504" s="839"/>
      <c r="Y504" s="839"/>
      <c r="Z504" s="839"/>
    </row>
    <row r="505" spans="2:26" s="1239" customFormat="1" ht="19.899999999999999" customHeight="1">
      <c r="B505" s="839"/>
      <c r="C505" s="839"/>
      <c r="D505" s="839"/>
      <c r="E505" s="839"/>
      <c r="F505" s="839"/>
      <c r="G505" s="839"/>
      <c r="H505" s="839"/>
      <c r="I505" s="839"/>
      <c r="J505" s="839"/>
      <c r="K505" s="839"/>
      <c r="L505" s="839"/>
      <c r="M505" s="839"/>
      <c r="N505" s="345"/>
      <c r="O505" s="839"/>
      <c r="P505" s="839"/>
      <c r="Q505" s="839"/>
      <c r="R505" s="839"/>
      <c r="S505" s="839"/>
      <c r="T505" s="839"/>
      <c r="U505" s="839"/>
      <c r="V505" s="839"/>
      <c r="W505" s="839"/>
      <c r="X505" s="839"/>
      <c r="Y505" s="839"/>
      <c r="Z505" s="839"/>
    </row>
    <row r="506" spans="2:26" s="1239" customFormat="1" ht="19.899999999999999" customHeight="1">
      <c r="B506" s="839"/>
      <c r="C506" s="839"/>
      <c r="D506" s="839"/>
      <c r="E506" s="839"/>
      <c r="F506" s="839"/>
      <c r="G506" s="839"/>
      <c r="H506" s="839"/>
      <c r="I506" s="839"/>
      <c r="J506" s="839"/>
      <c r="K506" s="839"/>
      <c r="L506" s="839"/>
      <c r="M506" s="839"/>
      <c r="N506" s="345"/>
      <c r="O506" s="839"/>
      <c r="P506" s="839"/>
      <c r="Q506" s="839"/>
      <c r="R506" s="839"/>
      <c r="S506" s="839"/>
      <c r="T506" s="839"/>
      <c r="U506" s="839"/>
      <c r="V506" s="839"/>
      <c r="W506" s="839"/>
      <c r="X506" s="839"/>
      <c r="Y506" s="839"/>
      <c r="Z506" s="839"/>
    </row>
    <row r="507" spans="2:26" s="1239" customFormat="1" ht="19.899999999999999" customHeight="1">
      <c r="B507" s="839"/>
      <c r="C507" s="839"/>
      <c r="D507" s="839"/>
      <c r="E507" s="839"/>
      <c r="F507" s="839"/>
      <c r="G507" s="839"/>
      <c r="H507" s="839"/>
      <c r="I507" s="839"/>
      <c r="J507" s="839"/>
      <c r="K507" s="839"/>
      <c r="L507" s="839"/>
      <c r="M507" s="839"/>
      <c r="N507" s="345"/>
      <c r="O507" s="839"/>
      <c r="P507" s="839"/>
      <c r="Q507" s="839"/>
      <c r="R507" s="839"/>
      <c r="S507" s="839"/>
      <c r="T507" s="839"/>
      <c r="U507" s="839"/>
      <c r="V507" s="839"/>
      <c r="W507" s="839"/>
      <c r="X507" s="839"/>
      <c r="Y507" s="839"/>
      <c r="Z507" s="839"/>
    </row>
    <row r="508" spans="2:26" s="1239" customFormat="1" ht="19.899999999999999" customHeight="1">
      <c r="B508" s="839"/>
      <c r="C508" s="839"/>
      <c r="D508" s="839"/>
      <c r="E508" s="839"/>
      <c r="F508" s="839"/>
      <c r="G508" s="839"/>
      <c r="H508" s="839"/>
      <c r="I508" s="839"/>
      <c r="J508" s="839"/>
      <c r="K508" s="839"/>
      <c r="L508" s="839"/>
      <c r="M508" s="839"/>
      <c r="N508" s="345"/>
      <c r="O508" s="839"/>
      <c r="P508" s="839"/>
      <c r="Q508" s="839"/>
      <c r="R508" s="839"/>
      <c r="S508" s="839"/>
      <c r="T508" s="839"/>
      <c r="U508" s="839"/>
      <c r="V508" s="839"/>
      <c r="W508" s="839"/>
      <c r="X508" s="839"/>
      <c r="Y508" s="839"/>
      <c r="Z508" s="839"/>
    </row>
    <row r="509" spans="2:26" s="1239" customFormat="1" ht="19.899999999999999" customHeight="1">
      <c r="B509" s="839"/>
      <c r="C509" s="839"/>
      <c r="D509" s="839"/>
      <c r="E509" s="839"/>
      <c r="F509" s="839"/>
      <c r="G509" s="839"/>
      <c r="H509" s="839"/>
      <c r="I509" s="839"/>
      <c r="J509" s="839"/>
      <c r="K509" s="839"/>
      <c r="L509" s="839"/>
      <c r="M509" s="839"/>
      <c r="N509" s="345"/>
      <c r="O509" s="839"/>
      <c r="P509" s="839"/>
      <c r="Q509" s="839"/>
      <c r="R509" s="839"/>
      <c r="S509" s="839"/>
      <c r="T509" s="839"/>
      <c r="U509" s="839"/>
      <c r="V509" s="839"/>
      <c r="W509" s="839"/>
      <c r="X509" s="839"/>
      <c r="Y509" s="839"/>
      <c r="Z509" s="839"/>
    </row>
    <row r="510" spans="2:26" s="1239" customFormat="1" ht="19.899999999999999" customHeight="1">
      <c r="B510" s="839"/>
      <c r="C510" s="839"/>
      <c r="D510" s="839"/>
      <c r="E510" s="839"/>
      <c r="F510" s="839"/>
      <c r="G510" s="839"/>
      <c r="H510" s="839"/>
      <c r="I510" s="839"/>
      <c r="J510" s="839"/>
      <c r="K510" s="839"/>
      <c r="L510" s="839"/>
      <c r="M510" s="839"/>
      <c r="N510" s="345"/>
      <c r="O510" s="839"/>
      <c r="P510" s="839"/>
      <c r="Q510" s="839"/>
      <c r="R510" s="839"/>
      <c r="S510" s="839"/>
      <c r="T510" s="839"/>
      <c r="U510" s="839"/>
      <c r="V510" s="839"/>
      <c r="W510" s="839"/>
      <c r="X510" s="839"/>
      <c r="Y510" s="839"/>
      <c r="Z510" s="839"/>
    </row>
    <row r="511" spans="2:26" s="1239" customFormat="1" ht="19.899999999999999" customHeight="1">
      <c r="B511" s="839"/>
      <c r="C511" s="839"/>
      <c r="D511" s="839"/>
      <c r="E511" s="839"/>
      <c r="F511" s="839"/>
      <c r="G511" s="839"/>
      <c r="H511" s="839"/>
      <c r="I511" s="839"/>
      <c r="J511" s="839"/>
      <c r="K511" s="839"/>
      <c r="L511" s="839"/>
      <c r="M511" s="839"/>
      <c r="N511" s="345"/>
      <c r="O511" s="839"/>
      <c r="P511" s="839"/>
      <c r="Q511" s="839"/>
      <c r="R511" s="839"/>
      <c r="S511" s="839"/>
      <c r="T511" s="839"/>
      <c r="U511" s="839"/>
      <c r="V511" s="839"/>
      <c r="W511" s="839"/>
      <c r="X511" s="839"/>
      <c r="Y511" s="839"/>
      <c r="Z511" s="839"/>
    </row>
    <row r="512" spans="2:26" s="1239" customFormat="1" ht="19.899999999999999" customHeight="1">
      <c r="B512" s="839"/>
      <c r="C512" s="839"/>
      <c r="D512" s="839"/>
      <c r="E512" s="839"/>
      <c r="F512" s="839"/>
      <c r="G512" s="839"/>
      <c r="H512" s="839"/>
      <c r="I512" s="839"/>
      <c r="J512" s="839"/>
      <c r="K512" s="839"/>
      <c r="L512" s="839"/>
      <c r="M512" s="839"/>
      <c r="N512" s="345"/>
      <c r="O512" s="839"/>
      <c r="P512" s="839"/>
      <c r="Q512" s="839"/>
      <c r="R512" s="839"/>
      <c r="S512" s="839"/>
      <c r="T512" s="839"/>
      <c r="U512" s="839"/>
      <c r="V512" s="839"/>
      <c r="W512" s="839"/>
      <c r="X512" s="839"/>
      <c r="Y512" s="839"/>
      <c r="Z512" s="839"/>
    </row>
    <row r="513" spans="2:26" s="1239" customFormat="1" ht="19.899999999999999" customHeight="1">
      <c r="B513" s="839"/>
      <c r="C513" s="839"/>
      <c r="D513" s="839"/>
      <c r="E513" s="839"/>
      <c r="F513" s="839"/>
      <c r="G513" s="839"/>
      <c r="H513" s="839"/>
      <c r="I513" s="839"/>
      <c r="J513" s="839"/>
      <c r="K513" s="839"/>
      <c r="L513" s="839"/>
      <c r="M513" s="839"/>
      <c r="N513" s="345"/>
      <c r="O513" s="839"/>
      <c r="P513" s="839"/>
      <c r="Q513" s="839"/>
      <c r="R513" s="839"/>
      <c r="S513" s="839"/>
      <c r="T513" s="839"/>
      <c r="U513" s="839"/>
      <c r="V513" s="839"/>
      <c r="W513" s="839"/>
      <c r="X513" s="839"/>
      <c r="Y513" s="839"/>
      <c r="Z513" s="839"/>
    </row>
    <row r="514" spans="2:26" s="1239" customFormat="1" ht="19.899999999999999" customHeight="1">
      <c r="B514" s="839"/>
      <c r="C514" s="839"/>
      <c r="D514" s="839"/>
      <c r="E514" s="839"/>
      <c r="F514" s="839"/>
      <c r="G514" s="839"/>
      <c r="H514" s="839"/>
      <c r="I514" s="839"/>
      <c r="J514" s="839"/>
      <c r="K514" s="839"/>
      <c r="L514" s="839"/>
      <c r="M514" s="839"/>
      <c r="N514" s="345"/>
      <c r="O514" s="839"/>
      <c r="P514" s="839"/>
      <c r="Q514" s="839"/>
      <c r="R514" s="839"/>
      <c r="S514" s="839"/>
      <c r="T514" s="839"/>
      <c r="U514" s="839"/>
      <c r="V514" s="839"/>
      <c r="W514" s="839"/>
      <c r="X514" s="839"/>
      <c r="Y514" s="839"/>
      <c r="Z514" s="839"/>
    </row>
    <row r="515" spans="2:26" s="1239" customFormat="1" ht="19.899999999999999" customHeight="1">
      <c r="B515" s="839"/>
      <c r="C515" s="839"/>
      <c r="D515" s="839"/>
      <c r="E515" s="839"/>
      <c r="F515" s="839"/>
      <c r="G515" s="839"/>
      <c r="H515" s="839"/>
      <c r="I515" s="839"/>
      <c r="J515" s="839"/>
      <c r="K515" s="839"/>
      <c r="L515" s="839"/>
      <c r="M515" s="839"/>
      <c r="N515" s="345"/>
      <c r="O515" s="839"/>
      <c r="P515" s="839"/>
      <c r="Q515" s="839"/>
      <c r="R515" s="839"/>
      <c r="S515" s="839"/>
      <c r="T515" s="839"/>
      <c r="U515" s="839"/>
      <c r="V515" s="839"/>
      <c r="W515" s="839"/>
      <c r="X515" s="839"/>
      <c r="Y515" s="839"/>
      <c r="Z515" s="839"/>
    </row>
    <row r="516" spans="2:26" s="1239" customFormat="1" ht="19.899999999999999" customHeight="1">
      <c r="B516" s="839"/>
      <c r="C516" s="839"/>
      <c r="D516" s="839"/>
      <c r="E516" s="839"/>
      <c r="F516" s="839"/>
      <c r="G516" s="839"/>
      <c r="H516" s="839"/>
      <c r="I516" s="839"/>
      <c r="J516" s="839"/>
      <c r="K516" s="839"/>
      <c r="L516" s="839"/>
      <c r="M516" s="839"/>
      <c r="N516" s="345"/>
      <c r="O516" s="839"/>
      <c r="P516" s="839"/>
      <c r="Q516" s="839"/>
      <c r="R516" s="839"/>
      <c r="S516" s="839"/>
      <c r="T516" s="839"/>
      <c r="U516" s="839"/>
      <c r="V516" s="839"/>
      <c r="W516" s="839"/>
      <c r="X516" s="839"/>
      <c r="Y516" s="839"/>
      <c r="Z516" s="839"/>
    </row>
    <row r="517" spans="2:26" s="1239" customFormat="1" ht="19.899999999999999" customHeight="1">
      <c r="B517" s="839"/>
      <c r="C517" s="839"/>
      <c r="D517" s="839"/>
      <c r="E517" s="839"/>
      <c r="F517" s="839"/>
      <c r="G517" s="839"/>
      <c r="H517" s="839"/>
      <c r="I517" s="839"/>
      <c r="J517" s="839"/>
      <c r="K517" s="839"/>
      <c r="L517" s="839"/>
      <c r="M517" s="839"/>
      <c r="N517" s="345"/>
      <c r="O517" s="839"/>
      <c r="P517" s="839"/>
      <c r="Q517" s="839"/>
      <c r="R517" s="839"/>
      <c r="S517" s="839"/>
      <c r="T517" s="839"/>
      <c r="U517" s="839"/>
      <c r="V517" s="839"/>
      <c r="W517" s="839"/>
      <c r="X517" s="839"/>
      <c r="Y517" s="839"/>
      <c r="Z517" s="839"/>
    </row>
    <row r="518" spans="2:26" s="1239" customFormat="1" ht="19.899999999999999" customHeight="1">
      <c r="B518" s="839"/>
      <c r="C518" s="839"/>
      <c r="D518" s="839"/>
      <c r="E518" s="839"/>
      <c r="F518" s="839"/>
      <c r="G518" s="839"/>
      <c r="H518" s="839"/>
      <c r="I518" s="839"/>
      <c r="J518" s="839"/>
      <c r="K518" s="839"/>
      <c r="L518" s="839"/>
      <c r="M518" s="839"/>
      <c r="N518" s="345"/>
      <c r="O518" s="839"/>
      <c r="P518" s="839"/>
      <c r="Q518" s="839"/>
      <c r="R518" s="839"/>
      <c r="S518" s="839"/>
      <c r="T518" s="839"/>
      <c r="U518" s="839"/>
      <c r="V518" s="839"/>
      <c r="W518" s="839"/>
      <c r="X518" s="839"/>
      <c r="Y518" s="839"/>
      <c r="Z518" s="839"/>
    </row>
    <row r="519" spans="2:26" s="1239" customFormat="1" ht="19.899999999999999" customHeight="1">
      <c r="B519" s="839"/>
      <c r="C519" s="839"/>
      <c r="D519" s="839"/>
      <c r="E519" s="839"/>
      <c r="F519" s="839"/>
      <c r="G519" s="839"/>
      <c r="H519" s="839"/>
      <c r="I519" s="839"/>
      <c r="J519" s="839"/>
      <c r="K519" s="839"/>
      <c r="L519" s="839"/>
      <c r="M519" s="839"/>
      <c r="N519" s="345"/>
      <c r="O519" s="839"/>
      <c r="P519" s="839"/>
      <c r="Q519" s="839"/>
      <c r="R519" s="839"/>
      <c r="S519" s="839"/>
      <c r="T519" s="839"/>
      <c r="U519" s="839"/>
      <c r="V519" s="839"/>
      <c r="W519" s="839"/>
      <c r="X519" s="839"/>
      <c r="Y519" s="839"/>
      <c r="Z519" s="839"/>
    </row>
    <row r="520" spans="2:26" s="1239" customFormat="1" ht="19.899999999999999" customHeight="1">
      <c r="B520" s="839"/>
      <c r="C520" s="839"/>
      <c r="D520" s="839"/>
      <c r="E520" s="839"/>
      <c r="F520" s="839"/>
      <c r="G520" s="839"/>
      <c r="H520" s="839"/>
      <c r="I520" s="839"/>
      <c r="J520" s="839"/>
      <c r="K520" s="839"/>
      <c r="L520" s="839"/>
      <c r="M520" s="839"/>
      <c r="N520" s="345"/>
      <c r="O520" s="839"/>
      <c r="P520" s="839"/>
      <c r="Q520" s="839"/>
      <c r="R520" s="839"/>
      <c r="S520" s="839"/>
      <c r="T520" s="839"/>
      <c r="U520" s="839"/>
      <c r="V520" s="839"/>
      <c r="W520" s="839"/>
      <c r="X520" s="839"/>
      <c r="Y520" s="839"/>
      <c r="Z520" s="839"/>
    </row>
    <row r="521" spans="2:26" s="1239" customFormat="1" ht="19.899999999999999" customHeight="1">
      <c r="B521" s="839"/>
      <c r="C521" s="839"/>
      <c r="D521" s="839"/>
      <c r="E521" s="839"/>
      <c r="F521" s="839"/>
      <c r="G521" s="839"/>
      <c r="H521" s="839"/>
      <c r="I521" s="839"/>
      <c r="J521" s="839"/>
      <c r="K521" s="839"/>
      <c r="L521" s="839"/>
      <c r="M521" s="839"/>
      <c r="N521" s="345"/>
      <c r="O521" s="839"/>
      <c r="P521" s="839"/>
      <c r="Q521" s="839"/>
      <c r="R521" s="839"/>
      <c r="S521" s="839"/>
      <c r="T521" s="839"/>
      <c r="U521" s="839"/>
      <c r="V521" s="839"/>
      <c r="W521" s="839"/>
      <c r="X521" s="839"/>
      <c r="Y521" s="839"/>
      <c r="Z521" s="839"/>
    </row>
    <row r="522" spans="2:26" s="1239" customFormat="1" ht="19.899999999999999" customHeight="1">
      <c r="B522" s="839"/>
      <c r="C522" s="839"/>
      <c r="D522" s="839"/>
      <c r="E522" s="839"/>
      <c r="F522" s="839"/>
      <c r="G522" s="839"/>
      <c r="H522" s="839"/>
      <c r="I522" s="839"/>
      <c r="J522" s="839"/>
      <c r="K522" s="839"/>
      <c r="L522" s="839"/>
      <c r="M522" s="839"/>
      <c r="N522" s="345"/>
      <c r="O522" s="839"/>
      <c r="P522" s="839"/>
      <c r="Q522" s="839"/>
      <c r="R522" s="839"/>
      <c r="S522" s="839"/>
      <c r="T522" s="839"/>
      <c r="U522" s="839"/>
      <c r="V522" s="839"/>
      <c r="W522" s="839"/>
      <c r="X522" s="839"/>
      <c r="Y522" s="839"/>
      <c r="Z522" s="839"/>
    </row>
    <row r="523" spans="2:26" s="1239" customFormat="1" ht="19.899999999999999" customHeight="1">
      <c r="B523" s="839"/>
      <c r="C523" s="839"/>
      <c r="D523" s="839"/>
      <c r="E523" s="839"/>
      <c r="F523" s="839"/>
      <c r="G523" s="839"/>
      <c r="H523" s="839"/>
      <c r="I523" s="839"/>
      <c r="J523" s="839"/>
      <c r="K523" s="839"/>
      <c r="L523" s="839"/>
      <c r="M523" s="839"/>
      <c r="N523" s="345"/>
      <c r="O523" s="839"/>
      <c r="P523" s="839"/>
      <c r="Q523" s="839"/>
      <c r="R523" s="839"/>
      <c r="S523" s="839"/>
      <c r="T523" s="839"/>
      <c r="U523" s="839"/>
      <c r="V523" s="839"/>
      <c r="W523" s="839"/>
      <c r="X523" s="839"/>
      <c r="Y523" s="839"/>
      <c r="Z523" s="839"/>
    </row>
    <row r="524" spans="2:26" s="1239" customFormat="1" ht="19.899999999999999" customHeight="1">
      <c r="B524" s="839"/>
      <c r="C524" s="839"/>
      <c r="D524" s="839"/>
      <c r="E524" s="839"/>
      <c r="F524" s="839"/>
      <c r="G524" s="839"/>
      <c r="H524" s="839"/>
      <c r="I524" s="839"/>
      <c r="J524" s="839"/>
      <c r="K524" s="839"/>
      <c r="L524" s="839"/>
      <c r="M524" s="839"/>
      <c r="N524" s="345"/>
      <c r="O524" s="839"/>
      <c r="P524" s="839"/>
      <c r="Q524" s="839"/>
      <c r="R524" s="839"/>
      <c r="S524" s="839"/>
      <c r="T524" s="839"/>
      <c r="U524" s="839"/>
      <c r="V524" s="839"/>
      <c r="W524" s="839"/>
      <c r="X524" s="839"/>
      <c r="Y524" s="839"/>
      <c r="Z524" s="839"/>
    </row>
    <row r="525" spans="2:26" s="1239" customFormat="1" ht="19.899999999999999" customHeight="1">
      <c r="B525" s="839"/>
      <c r="C525" s="839"/>
      <c r="D525" s="839"/>
      <c r="E525" s="839"/>
      <c r="F525" s="839"/>
      <c r="G525" s="839"/>
      <c r="H525" s="839"/>
      <c r="I525" s="839"/>
      <c r="J525" s="839"/>
      <c r="K525" s="839"/>
      <c r="L525" s="839"/>
      <c r="M525" s="839"/>
      <c r="N525" s="345"/>
      <c r="O525" s="839"/>
      <c r="P525" s="839"/>
      <c r="Q525" s="839"/>
      <c r="R525" s="839"/>
      <c r="S525" s="839"/>
      <c r="T525" s="839"/>
      <c r="U525" s="839"/>
      <c r="V525" s="839"/>
      <c r="W525" s="839"/>
      <c r="X525" s="839"/>
      <c r="Y525" s="839"/>
      <c r="Z525" s="839"/>
    </row>
    <row r="526" spans="2:26" s="1239" customFormat="1" ht="19.899999999999999" customHeight="1">
      <c r="B526" s="839"/>
      <c r="C526" s="839"/>
      <c r="D526" s="839"/>
      <c r="E526" s="839"/>
      <c r="F526" s="839"/>
      <c r="G526" s="839"/>
      <c r="H526" s="839"/>
      <c r="I526" s="839"/>
      <c r="J526" s="839"/>
      <c r="K526" s="839"/>
      <c r="L526" s="839"/>
      <c r="M526" s="839"/>
      <c r="N526" s="345"/>
      <c r="O526" s="839"/>
      <c r="P526" s="839"/>
      <c r="Q526" s="839"/>
      <c r="R526" s="839"/>
      <c r="S526" s="839"/>
      <c r="T526" s="839"/>
      <c r="U526" s="839"/>
      <c r="V526" s="839"/>
      <c r="W526" s="839"/>
      <c r="X526" s="839"/>
      <c r="Y526" s="839"/>
      <c r="Z526" s="839"/>
    </row>
    <row r="527" spans="2:26" s="1239" customFormat="1" ht="19.899999999999999" customHeight="1">
      <c r="B527" s="839"/>
      <c r="C527" s="839"/>
      <c r="D527" s="839"/>
      <c r="E527" s="839"/>
      <c r="F527" s="839"/>
      <c r="G527" s="839"/>
      <c r="H527" s="839"/>
      <c r="I527" s="839"/>
      <c r="J527" s="839"/>
      <c r="K527" s="839"/>
      <c r="L527" s="839"/>
      <c r="M527" s="839"/>
      <c r="N527" s="345"/>
      <c r="O527" s="839"/>
      <c r="P527" s="839"/>
      <c r="Q527" s="839"/>
      <c r="R527" s="839"/>
      <c r="S527" s="839"/>
      <c r="T527" s="839"/>
      <c r="U527" s="839"/>
      <c r="V527" s="839"/>
      <c r="W527" s="839"/>
      <c r="X527" s="839"/>
      <c r="Y527" s="839"/>
      <c r="Z527" s="839"/>
    </row>
    <row r="528" spans="2:26" s="1239" customFormat="1" ht="19.899999999999999" customHeight="1">
      <c r="B528" s="839"/>
      <c r="C528" s="839"/>
      <c r="D528" s="839"/>
      <c r="E528" s="839"/>
      <c r="F528" s="839"/>
      <c r="G528" s="839"/>
      <c r="H528" s="839"/>
      <c r="I528" s="839"/>
      <c r="J528" s="839"/>
      <c r="K528" s="839"/>
      <c r="L528" s="839"/>
      <c r="M528" s="839"/>
      <c r="N528" s="345"/>
      <c r="O528" s="839"/>
      <c r="P528" s="839"/>
      <c r="Q528" s="839"/>
      <c r="R528" s="839"/>
      <c r="S528" s="839"/>
      <c r="T528" s="839"/>
      <c r="U528" s="839"/>
      <c r="V528" s="839"/>
      <c r="W528" s="839"/>
      <c r="X528" s="839"/>
      <c r="Y528" s="839"/>
      <c r="Z528" s="839"/>
    </row>
    <row r="529" spans="2:26" s="1239" customFormat="1" ht="19.899999999999999" customHeight="1">
      <c r="B529" s="839"/>
      <c r="C529" s="839"/>
      <c r="D529" s="839"/>
      <c r="E529" s="839"/>
      <c r="F529" s="839"/>
      <c r="G529" s="839"/>
      <c r="H529" s="839"/>
      <c r="I529" s="839"/>
      <c r="J529" s="839"/>
      <c r="K529" s="839"/>
      <c r="L529" s="839"/>
      <c r="M529" s="839"/>
      <c r="N529" s="345"/>
      <c r="O529" s="839"/>
      <c r="P529" s="839"/>
      <c r="Q529" s="839"/>
      <c r="R529" s="839"/>
      <c r="S529" s="839"/>
      <c r="T529" s="839"/>
      <c r="U529" s="839"/>
      <c r="V529" s="839"/>
      <c r="W529" s="839"/>
      <c r="X529" s="839"/>
      <c r="Y529" s="839"/>
      <c r="Z529" s="839"/>
    </row>
    <row r="530" spans="2:26" s="1239" customFormat="1" ht="19.899999999999999" customHeight="1">
      <c r="B530" s="839"/>
      <c r="C530" s="839"/>
      <c r="D530" s="839"/>
      <c r="E530" s="839"/>
      <c r="F530" s="839"/>
      <c r="G530" s="839"/>
      <c r="H530" s="839"/>
      <c r="I530" s="839"/>
      <c r="J530" s="839"/>
      <c r="K530" s="839"/>
      <c r="L530" s="839"/>
      <c r="M530" s="839"/>
      <c r="N530" s="345"/>
      <c r="O530" s="839"/>
      <c r="P530" s="839"/>
      <c r="Q530" s="839"/>
      <c r="R530" s="839"/>
      <c r="S530" s="839"/>
      <c r="T530" s="839"/>
      <c r="U530" s="839"/>
      <c r="V530" s="839"/>
      <c r="W530" s="839"/>
      <c r="X530" s="839"/>
      <c r="Y530" s="839"/>
      <c r="Z530" s="839"/>
    </row>
    <row r="531" spans="2:26" s="1239" customFormat="1" ht="19.899999999999999" customHeight="1">
      <c r="B531" s="839"/>
      <c r="C531" s="839"/>
      <c r="D531" s="839"/>
      <c r="E531" s="839"/>
      <c r="F531" s="839"/>
      <c r="G531" s="839"/>
      <c r="H531" s="839"/>
      <c r="I531" s="839"/>
      <c r="J531" s="839"/>
      <c r="K531" s="839"/>
      <c r="L531" s="839"/>
      <c r="M531" s="839"/>
      <c r="N531" s="345"/>
      <c r="O531" s="839"/>
      <c r="P531" s="839"/>
      <c r="Q531" s="839"/>
      <c r="R531" s="839"/>
      <c r="S531" s="839"/>
      <c r="T531" s="839"/>
      <c r="U531" s="839"/>
      <c r="V531" s="839"/>
      <c r="W531" s="839"/>
      <c r="X531" s="839"/>
      <c r="Y531" s="839"/>
      <c r="Z531" s="839"/>
    </row>
    <row r="532" spans="2:26" s="1239" customFormat="1" ht="19.899999999999999" customHeight="1">
      <c r="B532" s="839"/>
      <c r="C532" s="839"/>
      <c r="D532" s="839"/>
      <c r="E532" s="839"/>
      <c r="F532" s="839"/>
      <c r="G532" s="839"/>
      <c r="H532" s="839"/>
      <c r="I532" s="839"/>
      <c r="J532" s="839"/>
      <c r="K532" s="839"/>
      <c r="L532" s="839"/>
      <c r="M532" s="839"/>
      <c r="N532" s="345"/>
      <c r="O532" s="839"/>
      <c r="P532" s="839"/>
      <c r="Q532" s="839"/>
      <c r="R532" s="839"/>
      <c r="S532" s="839"/>
      <c r="T532" s="839"/>
      <c r="U532" s="839"/>
      <c r="V532" s="839"/>
      <c r="W532" s="839"/>
      <c r="X532" s="839"/>
      <c r="Y532" s="839"/>
      <c r="Z532" s="839"/>
    </row>
    <row r="533" spans="2:26" s="1239" customFormat="1" ht="19.899999999999999" customHeight="1">
      <c r="B533" s="839"/>
      <c r="C533" s="839"/>
      <c r="D533" s="839"/>
      <c r="E533" s="839"/>
      <c r="F533" s="839"/>
      <c r="G533" s="839"/>
      <c r="H533" s="839"/>
      <c r="I533" s="839"/>
      <c r="J533" s="839"/>
      <c r="K533" s="839"/>
      <c r="L533" s="839"/>
      <c r="M533" s="839"/>
      <c r="N533" s="345"/>
      <c r="O533" s="839"/>
      <c r="P533" s="839"/>
      <c r="Q533" s="839"/>
      <c r="R533" s="839"/>
      <c r="S533" s="839"/>
      <c r="T533" s="839"/>
      <c r="U533" s="839"/>
      <c r="V533" s="839"/>
      <c r="W533" s="839"/>
      <c r="X533" s="839"/>
      <c r="Y533" s="839"/>
      <c r="Z533" s="839"/>
    </row>
    <row r="534" spans="2:26" s="1239" customFormat="1" ht="19.899999999999999" customHeight="1">
      <c r="B534" s="839"/>
      <c r="C534" s="839"/>
      <c r="D534" s="839"/>
      <c r="E534" s="839"/>
      <c r="F534" s="839"/>
      <c r="G534" s="839"/>
      <c r="H534" s="839"/>
      <c r="I534" s="839"/>
      <c r="J534" s="839"/>
      <c r="K534" s="839"/>
      <c r="L534" s="839"/>
      <c r="M534" s="839"/>
      <c r="N534" s="345"/>
      <c r="O534" s="839"/>
      <c r="P534" s="839"/>
      <c r="Q534" s="839"/>
      <c r="R534" s="839"/>
      <c r="S534" s="839"/>
      <c r="T534" s="839"/>
      <c r="U534" s="839"/>
      <c r="V534" s="839"/>
      <c r="W534" s="839"/>
      <c r="X534" s="839"/>
      <c r="Y534" s="839"/>
      <c r="Z534" s="839"/>
    </row>
    <row r="535" spans="2:26" s="1239" customFormat="1" ht="19.899999999999999" customHeight="1">
      <c r="B535" s="839"/>
      <c r="C535" s="839"/>
      <c r="D535" s="839"/>
      <c r="E535" s="839"/>
      <c r="F535" s="839"/>
      <c r="G535" s="839"/>
      <c r="H535" s="839"/>
      <c r="I535" s="839"/>
      <c r="J535" s="839"/>
      <c r="K535" s="839"/>
      <c r="L535" s="839"/>
      <c r="M535" s="839"/>
      <c r="N535" s="345"/>
      <c r="O535" s="839"/>
      <c r="P535" s="839"/>
      <c r="Q535" s="839"/>
      <c r="R535" s="839"/>
      <c r="S535" s="839"/>
      <c r="T535" s="839"/>
      <c r="U535" s="839"/>
      <c r="V535" s="839"/>
      <c r="W535" s="839"/>
      <c r="X535" s="839"/>
      <c r="Y535" s="839"/>
      <c r="Z535" s="839"/>
    </row>
    <row r="536" spans="2:26" s="1239" customFormat="1" ht="19.899999999999999" customHeight="1">
      <c r="B536" s="839"/>
      <c r="C536" s="839"/>
      <c r="D536" s="839"/>
      <c r="E536" s="839"/>
      <c r="F536" s="839"/>
      <c r="G536" s="839"/>
      <c r="H536" s="839"/>
      <c r="I536" s="839"/>
      <c r="J536" s="839"/>
      <c r="K536" s="839"/>
      <c r="L536" s="839"/>
      <c r="M536" s="839"/>
      <c r="N536" s="345"/>
      <c r="O536" s="839"/>
      <c r="P536" s="839"/>
      <c r="Q536" s="839"/>
      <c r="R536" s="839"/>
      <c r="S536" s="839"/>
      <c r="T536" s="839"/>
      <c r="U536" s="839"/>
      <c r="V536" s="839"/>
      <c r="W536" s="839"/>
      <c r="X536" s="839"/>
      <c r="Y536" s="839"/>
      <c r="Z536" s="839"/>
    </row>
    <row r="537" spans="2:26" s="1239" customFormat="1" ht="19.899999999999999" customHeight="1">
      <c r="B537" s="839"/>
      <c r="C537" s="839"/>
      <c r="D537" s="839"/>
      <c r="E537" s="839"/>
      <c r="F537" s="839"/>
      <c r="G537" s="839"/>
      <c r="H537" s="839"/>
      <c r="I537" s="839"/>
      <c r="J537" s="839"/>
      <c r="K537" s="839"/>
      <c r="L537" s="839"/>
      <c r="M537" s="839"/>
      <c r="N537" s="345"/>
      <c r="O537" s="839"/>
      <c r="P537" s="839"/>
      <c r="Q537" s="839"/>
      <c r="R537" s="839"/>
      <c r="S537" s="839"/>
      <c r="T537" s="839"/>
      <c r="U537" s="839"/>
      <c r="V537" s="839"/>
      <c r="W537" s="839"/>
      <c r="X537" s="839"/>
      <c r="Y537" s="839"/>
      <c r="Z537" s="839"/>
    </row>
    <row r="538" spans="2:26" s="1239" customFormat="1" ht="19.899999999999999" customHeight="1">
      <c r="B538" s="839"/>
      <c r="C538" s="839"/>
      <c r="D538" s="839"/>
      <c r="E538" s="839"/>
      <c r="F538" s="839"/>
      <c r="G538" s="839"/>
      <c r="H538" s="839"/>
      <c r="I538" s="839"/>
      <c r="J538" s="839"/>
      <c r="K538" s="839"/>
      <c r="L538" s="839"/>
      <c r="M538" s="839"/>
      <c r="N538" s="345"/>
      <c r="O538" s="839"/>
      <c r="P538" s="839"/>
      <c r="Q538" s="839"/>
      <c r="R538" s="839"/>
      <c r="S538" s="839"/>
      <c r="T538" s="839"/>
      <c r="U538" s="839"/>
      <c r="V538" s="839"/>
      <c r="W538" s="839"/>
      <c r="X538" s="839"/>
      <c r="Y538" s="839"/>
      <c r="Z538" s="839"/>
    </row>
    <row r="539" spans="2:26" s="1239" customFormat="1" ht="19.899999999999999" customHeight="1">
      <c r="B539" s="839"/>
      <c r="C539" s="839"/>
      <c r="D539" s="839"/>
      <c r="E539" s="839"/>
      <c r="F539" s="839"/>
      <c r="G539" s="839"/>
      <c r="H539" s="839"/>
      <c r="I539" s="839"/>
      <c r="J539" s="839"/>
      <c r="K539" s="839"/>
      <c r="L539" s="839"/>
      <c r="M539" s="839"/>
      <c r="N539" s="345"/>
      <c r="O539" s="839"/>
      <c r="P539" s="839"/>
      <c r="Q539" s="839"/>
      <c r="R539" s="839"/>
      <c r="S539" s="839"/>
      <c r="T539" s="839"/>
      <c r="U539" s="839"/>
      <c r="V539" s="839"/>
      <c r="W539" s="839"/>
      <c r="X539" s="839"/>
      <c r="Y539" s="839"/>
      <c r="Z539" s="839"/>
    </row>
    <row r="540" spans="2:26" s="1239" customFormat="1" ht="19.899999999999999" customHeight="1">
      <c r="B540" s="839"/>
      <c r="C540" s="839"/>
      <c r="D540" s="839"/>
      <c r="E540" s="839"/>
      <c r="F540" s="839"/>
      <c r="G540" s="839"/>
      <c r="H540" s="839"/>
      <c r="I540" s="839"/>
      <c r="J540" s="839"/>
      <c r="K540" s="839"/>
      <c r="L540" s="839"/>
      <c r="M540" s="839"/>
      <c r="N540" s="345"/>
      <c r="O540" s="839"/>
      <c r="P540" s="839"/>
      <c r="Q540" s="839"/>
      <c r="R540" s="839"/>
      <c r="S540" s="839"/>
      <c r="T540" s="839"/>
      <c r="U540" s="839"/>
      <c r="V540" s="839"/>
      <c r="W540" s="839"/>
      <c r="X540" s="839"/>
      <c r="Y540" s="839"/>
      <c r="Z540" s="839"/>
    </row>
    <row r="541" spans="2:26" s="1239" customFormat="1" ht="19.899999999999999" customHeight="1">
      <c r="B541" s="839"/>
      <c r="C541" s="839"/>
      <c r="D541" s="839"/>
      <c r="E541" s="839"/>
      <c r="F541" s="839"/>
      <c r="G541" s="839"/>
      <c r="H541" s="839"/>
      <c r="I541" s="839"/>
      <c r="J541" s="839"/>
      <c r="K541" s="839"/>
      <c r="L541" s="839"/>
      <c r="M541" s="839"/>
      <c r="N541" s="345"/>
      <c r="O541" s="839"/>
      <c r="P541" s="839"/>
      <c r="Q541" s="839"/>
      <c r="R541" s="839"/>
      <c r="S541" s="839"/>
      <c r="T541" s="839"/>
      <c r="U541" s="839"/>
      <c r="V541" s="839"/>
      <c r="W541" s="839"/>
      <c r="X541" s="839"/>
      <c r="Y541" s="839"/>
      <c r="Z541" s="839"/>
    </row>
    <row r="542" spans="2:26" s="1239" customFormat="1" ht="19.899999999999999" customHeight="1">
      <c r="B542" s="839"/>
      <c r="C542" s="839"/>
      <c r="D542" s="839"/>
      <c r="E542" s="839"/>
      <c r="F542" s="839"/>
      <c r="G542" s="839"/>
      <c r="H542" s="839"/>
      <c r="I542" s="839"/>
      <c r="J542" s="839"/>
      <c r="K542" s="839"/>
      <c r="L542" s="839"/>
      <c r="M542" s="839"/>
      <c r="N542" s="345"/>
      <c r="O542" s="839"/>
      <c r="P542" s="839"/>
      <c r="Q542" s="839"/>
      <c r="R542" s="839"/>
      <c r="S542" s="839"/>
      <c r="T542" s="839"/>
      <c r="U542" s="839"/>
      <c r="V542" s="839"/>
      <c r="W542" s="839"/>
      <c r="X542" s="839"/>
      <c r="Y542" s="839"/>
      <c r="Z542" s="839"/>
    </row>
    <row r="543" spans="2:26" s="1239" customFormat="1" ht="19.899999999999999" customHeight="1">
      <c r="B543" s="839"/>
      <c r="C543" s="839"/>
      <c r="D543" s="839"/>
      <c r="E543" s="839"/>
      <c r="F543" s="839"/>
      <c r="G543" s="839"/>
      <c r="H543" s="839"/>
      <c r="I543" s="839"/>
      <c r="J543" s="839"/>
      <c r="K543" s="839"/>
      <c r="L543" s="839"/>
      <c r="M543" s="839"/>
      <c r="N543" s="345"/>
      <c r="O543" s="839"/>
      <c r="P543" s="839"/>
      <c r="Q543" s="839"/>
      <c r="R543" s="839"/>
      <c r="S543" s="839"/>
      <c r="T543" s="839"/>
      <c r="U543" s="839"/>
      <c r="V543" s="839"/>
      <c r="W543" s="839"/>
      <c r="X543" s="839"/>
      <c r="Y543" s="839"/>
      <c r="Z543" s="839"/>
    </row>
    <row r="544" spans="2:26" s="1239" customFormat="1" ht="19.899999999999999" customHeight="1">
      <c r="B544" s="839"/>
      <c r="C544" s="839"/>
      <c r="D544" s="839"/>
      <c r="E544" s="839"/>
      <c r="F544" s="839"/>
      <c r="G544" s="839"/>
      <c r="H544" s="839"/>
      <c r="I544" s="839"/>
      <c r="J544" s="839"/>
      <c r="K544" s="839"/>
      <c r="L544" s="839"/>
      <c r="M544" s="839"/>
      <c r="N544" s="345"/>
      <c r="O544" s="839"/>
      <c r="P544" s="839"/>
      <c r="Q544" s="839"/>
      <c r="R544" s="839"/>
      <c r="S544" s="839"/>
      <c r="T544" s="839"/>
      <c r="U544" s="839"/>
      <c r="V544" s="839"/>
      <c r="W544" s="839"/>
      <c r="X544" s="839"/>
      <c r="Y544" s="839"/>
      <c r="Z544" s="839"/>
    </row>
    <row r="545" spans="2:26" s="1239" customFormat="1" ht="19.899999999999999" customHeight="1">
      <c r="B545" s="839"/>
      <c r="C545" s="839"/>
      <c r="D545" s="839"/>
      <c r="E545" s="839"/>
      <c r="F545" s="839"/>
      <c r="G545" s="839"/>
      <c r="H545" s="839"/>
      <c r="I545" s="839"/>
      <c r="J545" s="839"/>
      <c r="K545" s="839"/>
      <c r="L545" s="839"/>
      <c r="M545" s="839"/>
      <c r="N545" s="345"/>
      <c r="O545" s="839"/>
      <c r="P545" s="839"/>
      <c r="Q545" s="839"/>
      <c r="R545" s="839"/>
      <c r="S545" s="839"/>
      <c r="T545" s="839"/>
      <c r="U545" s="839"/>
      <c r="V545" s="839"/>
      <c r="W545" s="839"/>
      <c r="X545" s="839"/>
      <c r="Y545" s="839"/>
      <c r="Z545" s="839"/>
    </row>
    <row r="546" spans="2:26" s="1239" customFormat="1" ht="19.899999999999999" customHeight="1">
      <c r="B546" s="839"/>
      <c r="C546" s="839"/>
      <c r="D546" s="839"/>
      <c r="E546" s="839"/>
      <c r="F546" s="839"/>
      <c r="G546" s="839"/>
      <c r="H546" s="839"/>
      <c r="I546" s="839"/>
      <c r="J546" s="839"/>
      <c r="K546" s="839"/>
      <c r="L546" s="839"/>
      <c r="M546" s="839"/>
      <c r="N546" s="345"/>
      <c r="O546" s="839"/>
      <c r="P546" s="839"/>
      <c r="Q546" s="839"/>
      <c r="R546" s="839"/>
      <c r="S546" s="839"/>
      <c r="T546" s="839"/>
      <c r="U546" s="839"/>
      <c r="V546" s="839"/>
      <c r="W546" s="839"/>
      <c r="X546" s="839"/>
      <c r="Y546" s="839"/>
      <c r="Z546" s="839"/>
    </row>
    <row r="547" spans="2:26" s="1239" customFormat="1" ht="19.899999999999999" customHeight="1">
      <c r="B547" s="839"/>
      <c r="C547" s="839"/>
      <c r="D547" s="839"/>
      <c r="E547" s="839"/>
      <c r="F547" s="839"/>
      <c r="G547" s="839"/>
      <c r="H547" s="839"/>
      <c r="I547" s="839"/>
      <c r="J547" s="839"/>
      <c r="K547" s="839"/>
      <c r="L547" s="839"/>
      <c r="M547" s="839"/>
      <c r="N547" s="345"/>
      <c r="O547" s="839"/>
      <c r="P547" s="839"/>
      <c r="Q547" s="839"/>
      <c r="R547" s="839"/>
      <c r="S547" s="839"/>
      <c r="T547" s="839"/>
      <c r="U547" s="839"/>
      <c r="V547" s="839"/>
      <c r="W547" s="839"/>
      <c r="X547" s="839"/>
      <c r="Y547" s="839"/>
      <c r="Z547" s="839"/>
    </row>
    <row r="548" spans="2:26" s="1239" customFormat="1" ht="19.899999999999999" customHeight="1">
      <c r="B548" s="839"/>
      <c r="C548" s="839"/>
      <c r="D548" s="839"/>
      <c r="E548" s="839"/>
      <c r="F548" s="839"/>
      <c r="G548" s="839"/>
      <c r="H548" s="839"/>
      <c r="I548" s="839"/>
      <c r="J548" s="839"/>
      <c r="K548" s="839"/>
      <c r="L548" s="839"/>
      <c r="M548" s="839"/>
      <c r="N548" s="345"/>
      <c r="O548" s="839"/>
      <c r="P548" s="839"/>
      <c r="Q548" s="839"/>
      <c r="R548" s="839"/>
      <c r="S548" s="839"/>
      <c r="T548" s="839"/>
      <c r="U548" s="839"/>
      <c r="V548" s="839"/>
      <c r="W548" s="839"/>
      <c r="X548" s="839"/>
      <c r="Y548" s="839"/>
      <c r="Z548" s="839"/>
    </row>
    <row r="549" spans="2:26" s="1239" customFormat="1" ht="19.899999999999999" customHeight="1">
      <c r="B549" s="839"/>
      <c r="C549" s="839"/>
      <c r="D549" s="839"/>
      <c r="E549" s="839"/>
      <c r="F549" s="839"/>
      <c r="G549" s="839"/>
      <c r="H549" s="839"/>
      <c r="I549" s="839"/>
      <c r="J549" s="839"/>
      <c r="K549" s="839"/>
      <c r="L549" s="839"/>
      <c r="M549" s="839"/>
      <c r="N549" s="345"/>
      <c r="O549" s="839"/>
      <c r="P549" s="839"/>
      <c r="Q549" s="839"/>
      <c r="R549" s="839"/>
      <c r="S549" s="839"/>
      <c r="T549" s="839"/>
      <c r="U549" s="839"/>
      <c r="V549" s="839"/>
      <c r="W549" s="839"/>
      <c r="X549" s="839"/>
      <c r="Y549" s="839"/>
      <c r="Z549" s="839"/>
    </row>
    <row r="550" spans="2:26" s="1239" customFormat="1" ht="19.899999999999999" customHeight="1">
      <c r="B550" s="839"/>
      <c r="C550" s="839"/>
      <c r="D550" s="839"/>
      <c r="E550" s="839"/>
      <c r="F550" s="839"/>
      <c r="G550" s="839"/>
      <c r="H550" s="839"/>
      <c r="I550" s="839"/>
      <c r="J550" s="839"/>
      <c r="K550" s="839"/>
      <c r="L550" s="839"/>
      <c r="M550" s="839"/>
      <c r="N550" s="345"/>
      <c r="O550" s="839"/>
      <c r="P550" s="839"/>
      <c r="Q550" s="839"/>
      <c r="R550" s="839"/>
      <c r="S550" s="839"/>
      <c r="T550" s="839"/>
      <c r="U550" s="839"/>
      <c r="V550" s="839"/>
      <c r="W550" s="839"/>
      <c r="X550" s="839"/>
      <c r="Y550" s="839"/>
      <c r="Z550" s="839"/>
    </row>
    <row r="551" spans="2:26" s="1239" customFormat="1" ht="19.899999999999999" customHeight="1">
      <c r="B551" s="839"/>
      <c r="C551" s="839"/>
      <c r="D551" s="839"/>
      <c r="E551" s="839"/>
      <c r="F551" s="839"/>
      <c r="G551" s="839"/>
      <c r="H551" s="839"/>
      <c r="I551" s="839"/>
      <c r="J551" s="839"/>
      <c r="K551" s="839"/>
      <c r="L551" s="839"/>
      <c r="M551" s="839"/>
      <c r="N551" s="345"/>
      <c r="O551" s="839"/>
      <c r="P551" s="839"/>
      <c r="Q551" s="839"/>
      <c r="R551" s="839"/>
      <c r="S551" s="839"/>
      <c r="T551" s="839"/>
      <c r="U551" s="839"/>
      <c r="V551" s="839"/>
      <c r="W551" s="839"/>
      <c r="X551" s="839"/>
      <c r="Y551" s="839"/>
      <c r="Z551" s="839"/>
    </row>
    <row r="552" spans="2:26" s="1239" customFormat="1" ht="19.899999999999999" customHeight="1">
      <c r="B552" s="839"/>
      <c r="C552" s="839"/>
      <c r="D552" s="839"/>
      <c r="E552" s="839"/>
      <c r="F552" s="839"/>
      <c r="G552" s="839"/>
      <c r="H552" s="839"/>
      <c r="I552" s="839"/>
      <c r="J552" s="839"/>
      <c r="K552" s="839"/>
      <c r="L552" s="839"/>
      <c r="M552" s="839"/>
      <c r="N552" s="345"/>
      <c r="O552" s="839"/>
      <c r="P552" s="839"/>
      <c r="Q552" s="839"/>
      <c r="R552" s="839"/>
      <c r="S552" s="839"/>
      <c r="T552" s="839"/>
      <c r="U552" s="839"/>
      <c r="V552" s="839"/>
      <c r="W552" s="839"/>
      <c r="X552" s="839"/>
      <c r="Y552" s="839"/>
      <c r="Z552" s="839"/>
    </row>
    <row r="553" spans="2:26" s="1239" customFormat="1" ht="19.899999999999999" customHeight="1">
      <c r="B553" s="839"/>
      <c r="C553" s="839"/>
      <c r="D553" s="839"/>
      <c r="E553" s="839"/>
      <c r="F553" s="839"/>
      <c r="G553" s="839"/>
      <c r="H553" s="839"/>
      <c r="I553" s="839"/>
      <c r="J553" s="839"/>
      <c r="K553" s="839"/>
      <c r="L553" s="839"/>
      <c r="M553" s="839"/>
      <c r="N553" s="345"/>
      <c r="O553" s="839"/>
      <c r="P553" s="839"/>
      <c r="Q553" s="839"/>
      <c r="R553" s="839"/>
      <c r="S553" s="839"/>
      <c r="T553" s="839"/>
      <c r="U553" s="839"/>
      <c r="V553" s="839"/>
      <c r="W553" s="839"/>
      <c r="X553" s="839"/>
      <c r="Y553" s="839"/>
      <c r="Z553" s="839"/>
    </row>
    <row r="554" spans="2:26" s="1239" customFormat="1" ht="19.899999999999999" customHeight="1">
      <c r="B554" s="839"/>
      <c r="C554" s="839"/>
      <c r="D554" s="839"/>
      <c r="E554" s="839"/>
      <c r="F554" s="839"/>
      <c r="G554" s="839"/>
      <c r="H554" s="839"/>
      <c r="I554" s="839"/>
      <c r="J554" s="839"/>
      <c r="K554" s="839"/>
      <c r="L554" s="839"/>
      <c r="M554" s="839"/>
      <c r="N554" s="345"/>
      <c r="O554" s="839"/>
      <c r="P554" s="839"/>
      <c r="Q554" s="839"/>
      <c r="R554" s="839"/>
      <c r="S554" s="839"/>
      <c r="T554" s="839"/>
      <c r="U554" s="839"/>
      <c r="V554" s="839"/>
      <c r="W554" s="839"/>
      <c r="X554" s="839"/>
      <c r="Y554" s="839"/>
      <c r="Z554" s="839"/>
    </row>
    <row r="555" spans="2:26" s="1239" customFormat="1" ht="19.899999999999999" customHeight="1">
      <c r="B555" s="839"/>
      <c r="C555" s="839"/>
      <c r="D555" s="839"/>
      <c r="E555" s="839"/>
      <c r="F555" s="839"/>
      <c r="G555" s="839"/>
      <c r="H555" s="839"/>
      <c r="I555" s="839"/>
      <c r="J555" s="839"/>
      <c r="K555" s="839"/>
      <c r="L555" s="839"/>
      <c r="M555" s="839"/>
      <c r="N555" s="345"/>
      <c r="O555" s="839"/>
      <c r="P555" s="839"/>
      <c r="Q555" s="839"/>
      <c r="R555" s="839"/>
      <c r="S555" s="839"/>
      <c r="T555" s="839"/>
      <c r="U555" s="839"/>
      <c r="V555" s="839"/>
      <c r="W555" s="839"/>
      <c r="X555" s="839"/>
      <c r="Y555" s="839"/>
      <c r="Z555" s="839"/>
    </row>
    <row r="556" spans="2:26" s="1239" customFormat="1" ht="19.899999999999999" customHeight="1">
      <c r="B556" s="839"/>
      <c r="C556" s="839"/>
      <c r="D556" s="839"/>
      <c r="E556" s="839"/>
      <c r="F556" s="839"/>
      <c r="G556" s="839"/>
      <c r="H556" s="839"/>
      <c r="I556" s="839"/>
      <c r="J556" s="839"/>
      <c r="K556" s="839"/>
      <c r="L556" s="839"/>
      <c r="M556" s="839"/>
      <c r="N556" s="345"/>
      <c r="O556" s="839"/>
      <c r="P556" s="839"/>
      <c r="Q556" s="839"/>
      <c r="R556" s="839"/>
      <c r="S556" s="839"/>
      <c r="T556" s="839"/>
      <c r="U556" s="839"/>
      <c r="V556" s="839"/>
      <c r="W556" s="839"/>
      <c r="X556" s="839"/>
      <c r="Y556" s="839"/>
      <c r="Z556" s="839"/>
    </row>
    <row r="557" spans="2:26" s="1239" customFormat="1" ht="19.899999999999999" customHeight="1">
      <c r="B557" s="839"/>
      <c r="C557" s="839"/>
      <c r="D557" s="839"/>
      <c r="E557" s="839"/>
      <c r="F557" s="839"/>
      <c r="G557" s="839"/>
      <c r="H557" s="839"/>
      <c r="I557" s="839"/>
      <c r="J557" s="839"/>
      <c r="K557" s="839"/>
      <c r="L557" s="839"/>
      <c r="M557" s="839"/>
      <c r="N557" s="345"/>
      <c r="O557" s="839"/>
      <c r="P557" s="839"/>
      <c r="Q557" s="839"/>
      <c r="R557" s="839"/>
      <c r="S557" s="839"/>
      <c r="T557" s="839"/>
      <c r="U557" s="839"/>
      <c r="V557" s="839"/>
      <c r="W557" s="839"/>
      <c r="X557" s="839"/>
      <c r="Y557" s="839"/>
      <c r="Z557" s="839"/>
    </row>
    <row r="558" spans="2:26" s="1239" customFormat="1" ht="19.899999999999999" customHeight="1">
      <c r="B558" s="839"/>
      <c r="C558" s="839"/>
      <c r="D558" s="839"/>
      <c r="E558" s="839"/>
      <c r="F558" s="839"/>
      <c r="G558" s="839"/>
      <c r="H558" s="839"/>
      <c r="I558" s="839"/>
      <c r="J558" s="839"/>
      <c r="K558" s="839"/>
      <c r="L558" s="839"/>
      <c r="M558" s="839"/>
      <c r="N558" s="345"/>
      <c r="O558" s="839"/>
      <c r="P558" s="839"/>
      <c r="Q558" s="839"/>
      <c r="R558" s="839"/>
      <c r="S558" s="839"/>
      <c r="T558" s="839"/>
      <c r="U558" s="839"/>
      <c r="V558" s="839"/>
      <c r="W558" s="839"/>
      <c r="X558" s="839"/>
      <c r="Y558" s="839"/>
      <c r="Z558" s="839"/>
    </row>
    <row r="559" spans="2:26" s="1239" customFormat="1" ht="19.899999999999999" customHeight="1">
      <c r="B559" s="839"/>
      <c r="C559" s="839"/>
      <c r="D559" s="839"/>
      <c r="E559" s="839"/>
      <c r="F559" s="839"/>
      <c r="G559" s="839"/>
      <c r="H559" s="839"/>
      <c r="I559" s="839"/>
      <c r="J559" s="839"/>
      <c r="K559" s="839"/>
      <c r="L559" s="839"/>
      <c r="M559" s="839"/>
      <c r="N559" s="345"/>
      <c r="O559" s="839"/>
      <c r="P559" s="839"/>
      <c r="Q559" s="839"/>
      <c r="R559" s="839"/>
      <c r="S559" s="839"/>
      <c r="T559" s="839"/>
      <c r="U559" s="839"/>
      <c r="V559" s="839"/>
      <c r="W559" s="839"/>
      <c r="X559" s="839"/>
      <c r="Y559" s="839"/>
      <c r="Z559" s="839"/>
    </row>
    <row r="560" spans="2:26" s="1239" customFormat="1" ht="19.899999999999999" customHeight="1">
      <c r="B560" s="839"/>
      <c r="C560" s="839"/>
      <c r="D560" s="839"/>
      <c r="E560" s="839"/>
      <c r="F560" s="839"/>
      <c r="G560" s="839"/>
      <c r="H560" s="839"/>
      <c r="I560" s="839"/>
      <c r="J560" s="839"/>
      <c r="K560" s="839"/>
      <c r="L560" s="839"/>
      <c r="M560" s="839"/>
      <c r="N560" s="345"/>
      <c r="O560" s="839"/>
      <c r="P560" s="839"/>
      <c r="Q560" s="839"/>
      <c r="R560" s="839"/>
      <c r="S560" s="839"/>
      <c r="T560" s="839"/>
      <c r="U560" s="839"/>
      <c r="V560" s="839"/>
      <c r="W560" s="839"/>
      <c r="X560" s="839"/>
      <c r="Y560" s="839"/>
      <c r="Z560" s="839"/>
    </row>
    <row r="561" spans="2:26" s="1239" customFormat="1" ht="19.899999999999999" customHeight="1">
      <c r="B561" s="839"/>
      <c r="C561" s="839"/>
      <c r="D561" s="839"/>
      <c r="E561" s="839"/>
      <c r="F561" s="839"/>
      <c r="G561" s="839"/>
      <c r="H561" s="839"/>
      <c r="I561" s="839"/>
      <c r="J561" s="839"/>
      <c r="K561" s="839"/>
      <c r="L561" s="839"/>
      <c r="M561" s="839"/>
      <c r="N561" s="345"/>
      <c r="O561" s="839"/>
      <c r="P561" s="839"/>
      <c r="Q561" s="839"/>
      <c r="R561" s="839"/>
      <c r="S561" s="839"/>
      <c r="T561" s="839"/>
      <c r="U561" s="839"/>
      <c r="V561" s="839"/>
      <c r="W561" s="839"/>
      <c r="X561" s="839"/>
      <c r="Y561" s="839"/>
      <c r="Z561" s="839"/>
    </row>
    <row r="562" spans="2:26" s="1239" customFormat="1" ht="19.899999999999999" customHeight="1">
      <c r="B562" s="839"/>
      <c r="C562" s="839"/>
      <c r="D562" s="839"/>
      <c r="E562" s="839"/>
      <c r="F562" s="839"/>
      <c r="G562" s="839"/>
      <c r="H562" s="839"/>
      <c r="I562" s="839"/>
      <c r="J562" s="839"/>
      <c r="K562" s="839"/>
      <c r="L562" s="839"/>
      <c r="M562" s="839"/>
      <c r="N562" s="345"/>
      <c r="O562" s="839"/>
      <c r="P562" s="839"/>
      <c r="Q562" s="839"/>
      <c r="R562" s="839"/>
      <c r="S562" s="839"/>
      <c r="T562" s="839"/>
      <c r="U562" s="839"/>
      <c r="V562" s="839"/>
      <c r="W562" s="839"/>
      <c r="X562" s="839"/>
      <c r="Y562" s="839"/>
      <c r="Z562" s="839"/>
    </row>
    <row r="563" spans="2:26" s="1239" customFormat="1" ht="19.899999999999999" customHeight="1">
      <c r="B563" s="839"/>
      <c r="C563" s="839"/>
      <c r="D563" s="839"/>
      <c r="E563" s="839"/>
      <c r="F563" s="839"/>
      <c r="G563" s="839"/>
      <c r="H563" s="839"/>
      <c r="I563" s="839"/>
      <c r="J563" s="839"/>
      <c r="K563" s="839"/>
      <c r="L563" s="839"/>
      <c r="M563" s="839"/>
      <c r="N563" s="345"/>
      <c r="O563" s="839"/>
      <c r="P563" s="839"/>
      <c r="Q563" s="839"/>
      <c r="R563" s="839"/>
      <c r="S563" s="839"/>
      <c r="T563" s="839"/>
      <c r="U563" s="839"/>
      <c r="V563" s="839"/>
      <c r="W563" s="839"/>
      <c r="X563" s="839"/>
      <c r="Y563" s="839"/>
      <c r="Z563" s="839"/>
    </row>
    <row r="564" spans="2:26" s="1239" customFormat="1" ht="19.899999999999999" customHeight="1">
      <c r="B564" s="839"/>
      <c r="C564" s="839"/>
      <c r="D564" s="839"/>
      <c r="E564" s="839"/>
      <c r="F564" s="839"/>
      <c r="G564" s="839"/>
      <c r="H564" s="839"/>
      <c r="I564" s="839"/>
      <c r="J564" s="839"/>
      <c r="K564" s="839"/>
      <c r="L564" s="839"/>
      <c r="M564" s="839"/>
      <c r="N564" s="345"/>
      <c r="O564" s="839"/>
      <c r="P564" s="839"/>
      <c r="Q564" s="839"/>
      <c r="R564" s="839"/>
      <c r="S564" s="839"/>
      <c r="T564" s="839"/>
      <c r="U564" s="839"/>
      <c r="V564" s="839"/>
      <c r="W564" s="839"/>
      <c r="X564" s="839"/>
      <c r="Y564" s="839"/>
      <c r="Z564" s="839"/>
    </row>
    <row r="565" spans="2:26" s="1239" customFormat="1" ht="19.899999999999999" customHeight="1">
      <c r="B565" s="839"/>
      <c r="C565" s="839"/>
      <c r="D565" s="839"/>
      <c r="E565" s="839"/>
      <c r="F565" s="839"/>
      <c r="G565" s="839"/>
      <c r="H565" s="839"/>
      <c r="I565" s="839"/>
      <c r="J565" s="839"/>
      <c r="K565" s="839"/>
      <c r="L565" s="839"/>
      <c r="M565" s="839"/>
      <c r="N565" s="345"/>
      <c r="O565" s="839"/>
      <c r="P565" s="839"/>
      <c r="Q565" s="839"/>
      <c r="R565" s="839"/>
      <c r="S565" s="839"/>
      <c r="T565" s="839"/>
      <c r="U565" s="839"/>
      <c r="V565" s="839"/>
      <c r="W565" s="839"/>
      <c r="X565" s="839"/>
      <c r="Y565" s="839"/>
      <c r="Z565" s="839"/>
    </row>
    <row r="566" spans="2:26" s="1239" customFormat="1" ht="19.899999999999999" customHeight="1">
      <c r="B566" s="839"/>
      <c r="C566" s="839"/>
      <c r="D566" s="839"/>
      <c r="E566" s="839"/>
      <c r="F566" s="839"/>
      <c r="G566" s="839"/>
      <c r="H566" s="839"/>
      <c r="I566" s="839"/>
      <c r="J566" s="839"/>
      <c r="K566" s="839"/>
      <c r="L566" s="839"/>
      <c r="M566" s="839"/>
      <c r="N566" s="345"/>
      <c r="O566" s="839"/>
      <c r="P566" s="839"/>
      <c r="Q566" s="839"/>
      <c r="R566" s="839"/>
      <c r="S566" s="839"/>
      <c r="T566" s="839"/>
      <c r="U566" s="839"/>
      <c r="V566" s="839"/>
      <c r="W566" s="839"/>
      <c r="X566" s="839"/>
      <c r="Y566" s="839"/>
      <c r="Z566" s="839"/>
    </row>
    <row r="567" spans="2:26" s="1239" customFormat="1" ht="19.899999999999999" customHeight="1">
      <c r="B567" s="839"/>
      <c r="C567" s="839"/>
      <c r="D567" s="839"/>
      <c r="E567" s="839"/>
      <c r="F567" s="839"/>
      <c r="G567" s="839"/>
      <c r="H567" s="839"/>
      <c r="I567" s="839"/>
      <c r="J567" s="839"/>
      <c r="K567" s="839"/>
      <c r="L567" s="839"/>
      <c r="M567" s="839"/>
      <c r="N567" s="345"/>
      <c r="O567" s="839"/>
      <c r="P567" s="839"/>
      <c r="Q567" s="839"/>
      <c r="R567" s="839"/>
      <c r="S567" s="839"/>
      <c r="T567" s="839"/>
      <c r="U567" s="839"/>
      <c r="V567" s="839"/>
      <c r="W567" s="839"/>
      <c r="X567" s="839"/>
      <c r="Y567" s="839"/>
      <c r="Z567" s="839"/>
    </row>
    <row r="568" spans="2:26" s="1239" customFormat="1" ht="19.899999999999999" customHeight="1">
      <c r="B568" s="839"/>
      <c r="C568" s="839"/>
      <c r="D568" s="839"/>
      <c r="E568" s="839"/>
      <c r="F568" s="839"/>
      <c r="G568" s="839"/>
      <c r="H568" s="839"/>
      <c r="I568" s="839"/>
      <c r="J568" s="839"/>
      <c r="K568" s="839"/>
      <c r="L568" s="839"/>
      <c r="M568" s="839"/>
      <c r="N568" s="345"/>
      <c r="O568" s="839"/>
      <c r="P568" s="839"/>
      <c r="Q568" s="839"/>
      <c r="R568" s="839"/>
      <c r="S568" s="839"/>
      <c r="T568" s="839"/>
      <c r="U568" s="839"/>
      <c r="V568" s="839"/>
      <c r="W568" s="839"/>
      <c r="X568" s="839"/>
      <c r="Y568" s="839"/>
      <c r="Z568" s="839"/>
    </row>
    <row r="569" spans="2:26" s="1239" customFormat="1" ht="19.899999999999999" customHeight="1">
      <c r="B569" s="839"/>
      <c r="C569" s="839"/>
      <c r="D569" s="839"/>
      <c r="E569" s="839"/>
      <c r="F569" s="839"/>
      <c r="G569" s="839"/>
      <c r="H569" s="839"/>
      <c r="I569" s="839"/>
      <c r="J569" s="839"/>
      <c r="K569" s="839"/>
      <c r="L569" s="839"/>
      <c r="M569" s="839"/>
      <c r="N569" s="345"/>
      <c r="O569" s="839"/>
      <c r="P569" s="839"/>
      <c r="Q569" s="839"/>
      <c r="R569" s="839"/>
      <c r="S569" s="839"/>
      <c r="T569" s="839"/>
      <c r="U569" s="839"/>
      <c r="V569" s="839"/>
      <c r="W569" s="839"/>
      <c r="X569" s="839"/>
      <c r="Y569" s="839"/>
      <c r="Z569" s="839"/>
    </row>
    <row r="570" spans="2:26" s="1239" customFormat="1" ht="19.899999999999999" customHeight="1">
      <c r="B570" s="839"/>
      <c r="C570" s="839"/>
      <c r="D570" s="839"/>
      <c r="E570" s="839"/>
      <c r="F570" s="839"/>
      <c r="G570" s="839"/>
      <c r="H570" s="839"/>
      <c r="I570" s="839"/>
      <c r="J570" s="839"/>
      <c r="K570" s="839"/>
      <c r="L570" s="839"/>
      <c r="M570" s="839"/>
      <c r="N570" s="345"/>
      <c r="O570" s="839"/>
      <c r="P570" s="839"/>
      <c r="Q570" s="839"/>
      <c r="R570" s="839"/>
      <c r="S570" s="839"/>
      <c r="T570" s="839"/>
      <c r="U570" s="839"/>
      <c r="V570" s="839"/>
      <c r="W570" s="839"/>
      <c r="X570" s="839"/>
      <c r="Y570" s="839"/>
      <c r="Z570" s="839"/>
    </row>
    <row r="571" spans="2:26" s="1239" customFormat="1" ht="19.899999999999999" customHeight="1">
      <c r="B571" s="839"/>
      <c r="C571" s="839"/>
      <c r="D571" s="839"/>
      <c r="E571" s="839"/>
      <c r="F571" s="839"/>
      <c r="G571" s="839"/>
      <c r="H571" s="839"/>
      <c r="I571" s="839"/>
      <c r="J571" s="839"/>
      <c r="K571" s="839"/>
      <c r="L571" s="839"/>
      <c r="M571" s="839"/>
      <c r="N571" s="345"/>
      <c r="O571" s="839"/>
      <c r="P571" s="839"/>
      <c r="Q571" s="839"/>
      <c r="R571" s="839"/>
      <c r="S571" s="839"/>
      <c r="T571" s="839"/>
      <c r="U571" s="839"/>
      <c r="V571" s="839"/>
      <c r="W571" s="839"/>
      <c r="X571" s="839"/>
      <c r="Y571" s="839"/>
      <c r="Z571" s="839"/>
    </row>
    <row r="572" spans="2:26" s="1239" customFormat="1" ht="19.899999999999999" customHeight="1">
      <c r="B572" s="839"/>
      <c r="C572" s="839"/>
      <c r="D572" s="839"/>
      <c r="E572" s="839"/>
      <c r="F572" s="839"/>
      <c r="G572" s="839"/>
      <c r="H572" s="839"/>
      <c r="I572" s="839"/>
      <c r="J572" s="839"/>
      <c r="K572" s="839"/>
      <c r="L572" s="839"/>
      <c r="M572" s="839"/>
      <c r="N572" s="345"/>
      <c r="O572" s="839"/>
      <c r="P572" s="839"/>
      <c r="Q572" s="839"/>
      <c r="R572" s="839"/>
      <c r="S572" s="839"/>
      <c r="T572" s="839"/>
      <c r="U572" s="839"/>
      <c r="V572" s="839"/>
      <c r="W572" s="839"/>
      <c r="X572" s="839"/>
      <c r="Y572" s="839"/>
      <c r="Z572" s="839"/>
    </row>
    <row r="573" spans="2:26" s="1239" customFormat="1" ht="19.899999999999999" customHeight="1">
      <c r="B573" s="839"/>
      <c r="C573" s="839"/>
      <c r="D573" s="839"/>
      <c r="E573" s="839"/>
      <c r="F573" s="839"/>
      <c r="G573" s="839"/>
      <c r="H573" s="839"/>
      <c r="I573" s="839"/>
      <c r="J573" s="839"/>
      <c r="K573" s="839"/>
      <c r="L573" s="839"/>
      <c r="M573" s="839"/>
      <c r="N573" s="345"/>
      <c r="O573" s="839"/>
      <c r="P573" s="839"/>
      <c r="Q573" s="839"/>
      <c r="R573" s="839"/>
      <c r="S573" s="839"/>
      <c r="T573" s="839"/>
      <c r="U573" s="839"/>
      <c r="V573" s="839"/>
      <c r="W573" s="839"/>
      <c r="X573" s="839"/>
      <c r="Y573" s="839"/>
      <c r="Z573" s="839"/>
    </row>
    <row r="574" spans="2:26" s="1239" customFormat="1" ht="19.899999999999999" customHeight="1">
      <c r="B574" s="839"/>
      <c r="C574" s="839"/>
      <c r="D574" s="839"/>
      <c r="E574" s="839"/>
      <c r="F574" s="839"/>
      <c r="G574" s="839"/>
      <c r="H574" s="839"/>
      <c r="I574" s="839"/>
      <c r="J574" s="839"/>
      <c r="K574" s="839"/>
      <c r="L574" s="839"/>
      <c r="M574" s="839"/>
      <c r="N574" s="345"/>
      <c r="O574" s="839"/>
      <c r="P574" s="839"/>
      <c r="Q574" s="839"/>
      <c r="R574" s="839"/>
      <c r="S574" s="839"/>
      <c r="T574" s="839"/>
      <c r="U574" s="839"/>
      <c r="V574" s="839"/>
      <c r="W574" s="839"/>
      <c r="X574" s="839"/>
      <c r="Y574" s="839"/>
      <c r="Z574" s="839"/>
    </row>
    <row r="575" spans="2:26" s="1239" customFormat="1" ht="19.899999999999999" customHeight="1">
      <c r="B575" s="839"/>
      <c r="C575" s="839"/>
      <c r="D575" s="839"/>
      <c r="E575" s="839"/>
      <c r="F575" s="839"/>
      <c r="G575" s="839"/>
      <c r="H575" s="839"/>
      <c r="I575" s="839"/>
      <c r="J575" s="839"/>
      <c r="K575" s="839"/>
      <c r="L575" s="839"/>
      <c r="M575" s="839"/>
      <c r="N575" s="345"/>
      <c r="O575" s="839"/>
      <c r="P575" s="839"/>
      <c r="Q575" s="839"/>
      <c r="R575" s="839"/>
      <c r="S575" s="839"/>
      <c r="T575" s="839"/>
      <c r="U575" s="839"/>
      <c r="V575" s="839"/>
      <c r="W575" s="839"/>
      <c r="X575" s="839"/>
      <c r="Y575" s="839"/>
      <c r="Z575" s="839"/>
    </row>
    <row r="576" spans="2:26" s="1239" customFormat="1" ht="19.899999999999999" customHeight="1">
      <c r="B576" s="839"/>
      <c r="C576" s="839"/>
      <c r="D576" s="839"/>
      <c r="E576" s="839"/>
      <c r="F576" s="839"/>
      <c r="G576" s="839"/>
      <c r="H576" s="839"/>
      <c r="I576" s="839"/>
      <c r="J576" s="839"/>
      <c r="K576" s="839"/>
      <c r="L576" s="839"/>
      <c r="M576" s="839"/>
      <c r="N576" s="345"/>
      <c r="O576" s="839"/>
      <c r="P576" s="839"/>
      <c r="Q576" s="839"/>
      <c r="R576" s="839"/>
      <c r="S576" s="839"/>
      <c r="T576" s="839"/>
      <c r="U576" s="839"/>
      <c r="V576" s="839"/>
      <c r="W576" s="839"/>
      <c r="X576" s="839"/>
      <c r="Y576" s="839"/>
      <c r="Z576" s="839"/>
    </row>
    <row r="577" spans="2:26" s="1239" customFormat="1" ht="19.899999999999999" customHeight="1">
      <c r="B577" s="839"/>
      <c r="C577" s="839"/>
      <c r="D577" s="839"/>
      <c r="E577" s="839"/>
      <c r="F577" s="839"/>
      <c r="G577" s="839"/>
      <c r="H577" s="839"/>
      <c r="I577" s="839"/>
      <c r="J577" s="839"/>
      <c r="K577" s="839"/>
      <c r="L577" s="839"/>
      <c r="M577" s="839"/>
      <c r="N577" s="345"/>
      <c r="O577" s="839"/>
      <c r="P577" s="839"/>
      <c r="Q577" s="839"/>
      <c r="R577" s="839"/>
      <c r="S577" s="839"/>
      <c r="T577" s="839"/>
      <c r="U577" s="839"/>
      <c r="V577" s="839"/>
      <c r="W577" s="839"/>
      <c r="X577" s="839"/>
      <c r="Y577" s="839"/>
      <c r="Z577" s="839"/>
    </row>
    <row r="578" spans="2:26" s="1239" customFormat="1" ht="19.899999999999999" customHeight="1">
      <c r="B578" s="839"/>
      <c r="C578" s="839"/>
      <c r="D578" s="839"/>
      <c r="E578" s="839"/>
      <c r="F578" s="839"/>
      <c r="G578" s="839"/>
      <c r="H578" s="839"/>
      <c r="I578" s="839"/>
      <c r="J578" s="839"/>
      <c r="K578" s="839"/>
      <c r="L578" s="839"/>
      <c r="M578" s="839"/>
      <c r="N578" s="345"/>
      <c r="O578" s="839"/>
      <c r="P578" s="839"/>
      <c r="Q578" s="839"/>
      <c r="R578" s="839"/>
      <c r="S578" s="839"/>
      <c r="T578" s="839"/>
      <c r="U578" s="839"/>
      <c r="V578" s="839"/>
      <c r="W578" s="839"/>
      <c r="X578" s="839"/>
      <c r="Y578" s="839"/>
      <c r="Z578" s="839"/>
    </row>
    <row r="579" spans="2:26" s="1239" customFormat="1" ht="19.899999999999999" customHeight="1">
      <c r="B579" s="839"/>
      <c r="C579" s="839"/>
      <c r="D579" s="839"/>
      <c r="E579" s="839"/>
      <c r="F579" s="839"/>
      <c r="G579" s="839"/>
      <c r="H579" s="839"/>
      <c r="I579" s="839"/>
      <c r="J579" s="839"/>
      <c r="K579" s="839"/>
      <c r="L579" s="839"/>
      <c r="M579" s="839"/>
      <c r="N579" s="345"/>
      <c r="O579" s="839"/>
      <c r="P579" s="839"/>
      <c r="Q579" s="839"/>
      <c r="R579" s="839"/>
      <c r="S579" s="839"/>
      <c r="T579" s="839"/>
      <c r="U579" s="839"/>
      <c r="V579" s="839"/>
      <c r="W579" s="839"/>
      <c r="X579" s="839"/>
      <c r="Y579" s="839"/>
      <c r="Z579" s="839"/>
    </row>
    <row r="580" spans="2:26" s="1239" customFormat="1" ht="19.899999999999999" customHeight="1">
      <c r="B580" s="839"/>
      <c r="C580" s="839"/>
      <c r="D580" s="839"/>
      <c r="E580" s="839"/>
      <c r="F580" s="839"/>
      <c r="G580" s="839"/>
      <c r="H580" s="839"/>
      <c r="I580" s="839"/>
      <c r="J580" s="839"/>
      <c r="K580" s="839"/>
      <c r="L580" s="839"/>
      <c r="M580" s="839"/>
      <c r="N580" s="345"/>
      <c r="O580" s="839"/>
      <c r="P580" s="839"/>
      <c r="Q580" s="839"/>
      <c r="R580" s="839"/>
      <c r="S580" s="839"/>
      <c r="T580" s="839"/>
      <c r="U580" s="839"/>
      <c r="V580" s="839"/>
      <c r="W580" s="839"/>
      <c r="X580" s="839"/>
      <c r="Y580" s="839"/>
      <c r="Z580" s="839"/>
    </row>
    <row r="581" spans="2:26" s="1239" customFormat="1" ht="19.899999999999999" customHeight="1">
      <c r="B581" s="839"/>
      <c r="C581" s="839"/>
      <c r="D581" s="839"/>
      <c r="E581" s="839"/>
      <c r="F581" s="839"/>
      <c r="G581" s="839"/>
      <c r="H581" s="839"/>
      <c r="I581" s="839"/>
      <c r="J581" s="839"/>
      <c r="K581" s="839"/>
      <c r="L581" s="839"/>
      <c r="M581" s="839"/>
      <c r="N581" s="345"/>
      <c r="O581" s="839"/>
      <c r="P581" s="839"/>
      <c r="Q581" s="839"/>
      <c r="R581" s="839"/>
      <c r="S581" s="839"/>
      <c r="T581" s="839"/>
      <c r="U581" s="839"/>
      <c r="V581" s="839"/>
      <c r="W581" s="839"/>
      <c r="X581" s="839"/>
      <c r="Y581" s="839"/>
      <c r="Z581" s="839"/>
    </row>
    <row r="582" spans="2:26" s="1239" customFormat="1" ht="19.899999999999999" customHeight="1">
      <c r="B582" s="839"/>
      <c r="C582" s="839"/>
      <c r="D582" s="839"/>
      <c r="E582" s="839"/>
      <c r="F582" s="839"/>
      <c r="G582" s="839"/>
      <c r="H582" s="839"/>
      <c r="I582" s="839"/>
      <c r="J582" s="839"/>
      <c r="K582" s="839"/>
      <c r="L582" s="839"/>
      <c r="M582" s="839"/>
      <c r="N582" s="345"/>
      <c r="O582" s="839"/>
      <c r="P582" s="839"/>
      <c r="Q582" s="839"/>
      <c r="R582" s="839"/>
      <c r="S582" s="839"/>
      <c r="T582" s="839"/>
      <c r="U582" s="839"/>
      <c r="V582" s="839"/>
      <c r="W582" s="839"/>
      <c r="X582" s="839"/>
      <c r="Y582" s="839"/>
      <c r="Z582" s="839"/>
    </row>
    <row r="583" spans="2:26" s="1239" customFormat="1" ht="19.899999999999999" customHeight="1">
      <c r="B583" s="839"/>
      <c r="C583" s="839"/>
      <c r="D583" s="839"/>
      <c r="E583" s="839"/>
      <c r="F583" s="839"/>
      <c r="G583" s="839"/>
      <c r="H583" s="839"/>
      <c r="I583" s="839"/>
      <c r="J583" s="839"/>
      <c r="K583" s="839"/>
      <c r="L583" s="839"/>
      <c r="M583" s="839"/>
      <c r="N583" s="345"/>
      <c r="O583" s="839"/>
      <c r="P583" s="839"/>
      <c r="Q583" s="839"/>
      <c r="R583" s="839"/>
      <c r="S583" s="839"/>
      <c r="T583" s="839"/>
      <c r="U583" s="839"/>
      <c r="V583" s="839"/>
      <c r="W583" s="839"/>
      <c r="X583" s="839"/>
      <c r="Y583" s="839"/>
      <c r="Z583" s="839"/>
    </row>
    <row r="584" spans="2:26" s="1239" customFormat="1" ht="19.899999999999999" customHeight="1">
      <c r="B584" s="839"/>
      <c r="C584" s="839"/>
      <c r="D584" s="839"/>
      <c r="E584" s="839"/>
      <c r="F584" s="839"/>
      <c r="G584" s="839"/>
      <c r="H584" s="839"/>
      <c r="I584" s="839"/>
      <c r="J584" s="839"/>
      <c r="K584" s="839"/>
      <c r="L584" s="839"/>
      <c r="M584" s="839"/>
      <c r="N584" s="345"/>
      <c r="O584" s="839"/>
      <c r="P584" s="839"/>
      <c r="Q584" s="839"/>
      <c r="R584" s="839"/>
      <c r="S584" s="839"/>
      <c r="T584" s="839"/>
      <c r="U584" s="839"/>
      <c r="V584" s="839"/>
      <c r="W584" s="839"/>
      <c r="X584" s="839"/>
      <c r="Y584" s="839"/>
      <c r="Z584" s="839"/>
    </row>
    <row r="585" spans="2:26" s="1239" customFormat="1" ht="19.899999999999999" customHeight="1">
      <c r="B585" s="839"/>
      <c r="C585" s="839"/>
      <c r="D585" s="839"/>
      <c r="E585" s="839"/>
      <c r="F585" s="839"/>
      <c r="G585" s="839"/>
      <c r="H585" s="839"/>
      <c r="I585" s="839"/>
      <c r="J585" s="839"/>
      <c r="K585" s="839"/>
      <c r="L585" s="839"/>
      <c r="M585" s="839"/>
      <c r="N585" s="345"/>
      <c r="O585" s="839"/>
      <c r="P585" s="839"/>
      <c r="Q585" s="839"/>
      <c r="R585" s="839"/>
      <c r="S585" s="839"/>
      <c r="T585" s="839"/>
      <c r="U585" s="839"/>
      <c r="V585" s="839"/>
      <c r="W585" s="839"/>
      <c r="X585" s="839"/>
      <c r="Y585" s="839"/>
      <c r="Z585" s="839"/>
    </row>
    <row r="586" spans="2:26" s="1239" customFormat="1" ht="19.899999999999999" customHeight="1">
      <c r="B586" s="839"/>
      <c r="C586" s="839"/>
      <c r="D586" s="839"/>
      <c r="E586" s="839"/>
      <c r="F586" s="839"/>
      <c r="G586" s="839"/>
      <c r="H586" s="839"/>
      <c r="I586" s="839"/>
      <c r="J586" s="839"/>
      <c r="K586" s="839"/>
      <c r="L586" s="839"/>
      <c r="M586" s="839"/>
      <c r="N586" s="345"/>
      <c r="O586" s="839"/>
      <c r="P586" s="839"/>
      <c r="Q586" s="839"/>
      <c r="R586" s="839"/>
      <c r="S586" s="839"/>
      <c r="T586" s="839"/>
      <c r="U586" s="839"/>
      <c r="V586" s="839"/>
      <c r="W586" s="839"/>
      <c r="X586" s="839"/>
      <c r="Y586" s="839"/>
      <c r="Z586" s="839"/>
    </row>
    <row r="587" spans="2:26" s="1239" customFormat="1" ht="19.899999999999999" customHeight="1">
      <c r="B587" s="839"/>
      <c r="C587" s="839"/>
      <c r="D587" s="839"/>
      <c r="E587" s="839"/>
      <c r="F587" s="839"/>
      <c r="G587" s="839"/>
      <c r="H587" s="839"/>
      <c r="I587" s="839"/>
      <c r="J587" s="839"/>
      <c r="K587" s="839"/>
      <c r="L587" s="839"/>
      <c r="M587" s="839"/>
      <c r="N587" s="345"/>
      <c r="O587" s="839"/>
      <c r="P587" s="839"/>
      <c r="Q587" s="839"/>
      <c r="R587" s="839"/>
      <c r="S587" s="839"/>
      <c r="T587" s="839"/>
      <c r="U587" s="839"/>
      <c r="V587" s="839"/>
      <c r="W587" s="839"/>
      <c r="X587" s="839"/>
      <c r="Y587" s="839"/>
      <c r="Z587" s="839"/>
    </row>
    <row r="588" spans="2:26" s="1239" customFormat="1" ht="19.899999999999999" customHeight="1">
      <c r="B588" s="839"/>
      <c r="C588" s="839"/>
      <c r="D588" s="839"/>
      <c r="E588" s="839"/>
      <c r="F588" s="839"/>
      <c r="G588" s="839"/>
      <c r="H588" s="839"/>
      <c r="I588" s="839"/>
      <c r="J588" s="839"/>
      <c r="K588" s="839"/>
      <c r="L588" s="839"/>
      <c r="M588" s="839"/>
      <c r="N588" s="345"/>
      <c r="O588" s="839"/>
      <c r="P588" s="839"/>
      <c r="Q588" s="839"/>
      <c r="R588" s="839"/>
      <c r="S588" s="839"/>
      <c r="T588" s="839"/>
      <c r="U588" s="839"/>
      <c r="V588" s="839"/>
      <c r="W588" s="839"/>
      <c r="X588" s="839"/>
      <c r="Y588" s="839"/>
      <c r="Z588" s="839"/>
    </row>
    <row r="589" spans="2:26" s="1239" customFormat="1" ht="19.899999999999999" customHeight="1">
      <c r="B589" s="839"/>
      <c r="C589" s="839"/>
      <c r="D589" s="839"/>
      <c r="E589" s="839"/>
      <c r="F589" s="839"/>
      <c r="G589" s="839"/>
      <c r="H589" s="839"/>
      <c r="I589" s="839"/>
      <c r="J589" s="839"/>
      <c r="K589" s="839"/>
      <c r="L589" s="839"/>
      <c r="M589" s="839"/>
      <c r="N589" s="345"/>
      <c r="O589" s="839"/>
      <c r="P589" s="839"/>
      <c r="Q589" s="839"/>
      <c r="R589" s="839"/>
      <c r="S589" s="839"/>
      <c r="T589" s="839"/>
      <c r="U589" s="839"/>
      <c r="V589" s="839"/>
      <c r="W589" s="839"/>
      <c r="X589" s="839"/>
      <c r="Y589" s="839"/>
      <c r="Z589" s="839"/>
    </row>
    <row r="590" spans="2:26" s="1239" customFormat="1" ht="19.899999999999999" customHeight="1">
      <c r="B590" s="839"/>
      <c r="C590" s="839"/>
      <c r="D590" s="839"/>
      <c r="E590" s="839"/>
      <c r="F590" s="839"/>
      <c r="G590" s="839"/>
      <c r="H590" s="839"/>
      <c r="I590" s="839"/>
      <c r="J590" s="839"/>
      <c r="K590" s="839"/>
      <c r="L590" s="839"/>
      <c r="M590" s="839"/>
      <c r="N590" s="345"/>
      <c r="O590" s="839"/>
      <c r="P590" s="839"/>
      <c r="Q590" s="839"/>
      <c r="R590" s="839"/>
      <c r="S590" s="839"/>
      <c r="T590" s="839"/>
      <c r="U590" s="839"/>
      <c r="V590" s="839"/>
      <c r="W590" s="839"/>
      <c r="X590" s="839"/>
      <c r="Y590" s="839"/>
      <c r="Z590" s="839"/>
    </row>
    <row r="591" spans="2:26" s="1239" customFormat="1" ht="19.899999999999999" customHeight="1">
      <c r="B591" s="839"/>
      <c r="C591" s="839"/>
      <c r="D591" s="839"/>
      <c r="E591" s="839"/>
      <c r="F591" s="839"/>
      <c r="G591" s="839"/>
      <c r="H591" s="839"/>
      <c r="I591" s="839"/>
      <c r="J591" s="839"/>
      <c r="K591" s="839"/>
      <c r="L591" s="839"/>
      <c r="M591" s="839"/>
      <c r="N591" s="345"/>
      <c r="O591" s="839"/>
      <c r="P591" s="839"/>
      <c r="Q591" s="839"/>
      <c r="R591" s="839"/>
      <c r="S591" s="839"/>
      <c r="T591" s="839"/>
      <c r="U591" s="839"/>
      <c r="V591" s="839"/>
      <c r="W591" s="839"/>
      <c r="X591" s="839"/>
      <c r="Y591" s="839"/>
      <c r="Z591" s="839"/>
    </row>
    <row r="592" spans="2:26" s="1239" customFormat="1" ht="19.899999999999999" customHeight="1">
      <c r="B592" s="839"/>
      <c r="C592" s="839"/>
      <c r="D592" s="839"/>
      <c r="E592" s="839"/>
      <c r="F592" s="839"/>
      <c r="G592" s="839"/>
      <c r="H592" s="839"/>
      <c r="I592" s="839"/>
      <c r="J592" s="839"/>
      <c r="K592" s="839"/>
      <c r="L592" s="839"/>
      <c r="M592" s="839"/>
      <c r="N592" s="345"/>
      <c r="O592" s="839"/>
      <c r="P592" s="839"/>
      <c r="Q592" s="839"/>
      <c r="R592" s="839"/>
      <c r="S592" s="839"/>
      <c r="T592" s="839"/>
      <c r="U592" s="839"/>
      <c r="V592" s="839"/>
      <c r="W592" s="839"/>
      <c r="X592" s="839"/>
      <c r="Y592" s="839"/>
      <c r="Z592" s="839"/>
    </row>
    <row r="593" spans="2:26" s="1239" customFormat="1" ht="19.899999999999999" customHeight="1">
      <c r="B593" s="839"/>
      <c r="C593" s="839"/>
      <c r="D593" s="839"/>
      <c r="E593" s="839"/>
      <c r="F593" s="839"/>
      <c r="G593" s="839"/>
      <c r="H593" s="839"/>
      <c r="I593" s="839"/>
      <c r="J593" s="839"/>
      <c r="K593" s="839"/>
      <c r="L593" s="839"/>
      <c r="M593" s="839"/>
      <c r="N593" s="345"/>
      <c r="O593" s="839"/>
      <c r="P593" s="839"/>
      <c r="Q593" s="839"/>
      <c r="R593" s="839"/>
      <c r="S593" s="839"/>
      <c r="T593" s="839"/>
      <c r="U593" s="839"/>
      <c r="V593" s="839"/>
      <c r="W593" s="839"/>
      <c r="X593" s="839"/>
      <c r="Y593" s="839"/>
      <c r="Z593" s="839"/>
    </row>
    <row r="594" spans="2:26" s="1239" customFormat="1" ht="19.899999999999999" customHeight="1">
      <c r="B594" s="839"/>
      <c r="C594" s="839"/>
      <c r="D594" s="839"/>
      <c r="E594" s="839"/>
      <c r="F594" s="839"/>
      <c r="G594" s="839"/>
      <c r="H594" s="839"/>
      <c r="I594" s="839"/>
      <c r="J594" s="839"/>
      <c r="K594" s="839"/>
      <c r="L594" s="839"/>
      <c r="M594" s="839"/>
      <c r="N594" s="345"/>
      <c r="O594" s="839"/>
      <c r="P594" s="839"/>
      <c r="Q594" s="839"/>
      <c r="R594" s="839"/>
      <c r="S594" s="839"/>
      <c r="T594" s="839"/>
      <c r="U594" s="839"/>
      <c r="V594" s="839"/>
      <c r="W594" s="839"/>
      <c r="X594" s="839"/>
      <c r="Y594" s="839"/>
      <c r="Z594" s="839"/>
    </row>
    <row r="595" spans="2:26" s="1239" customFormat="1" ht="19.899999999999999" customHeight="1">
      <c r="B595" s="839"/>
      <c r="C595" s="839"/>
      <c r="D595" s="839"/>
      <c r="E595" s="839"/>
      <c r="F595" s="839"/>
      <c r="G595" s="839"/>
      <c r="H595" s="839"/>
      <c r="I595" s="839"/>
      <c r="J595" s="839"/>
      <c r="K595" s="839"/>
      <c r="L595" s="839"/>
      <c r="M595" s="839"/>
      <c r="N595" s="345"/>
      <c r="O595" s="839"/>
      <c r="P595" s="839"/>
      <c r="Q595" s="839"/>
      <c r="R595" s="839"/>
      <c r="S595" s="839"/>
      <c r="T595" s="839"/>
      <c r="U595" s="839"/>
      <c r="V595" s="839"/>
      <c r="W595" s="839"/>
      <c r="X595" s="839"/>
      <c r="Y595" s="839"/>
      <c r="Z595" s="839"/>
    </row>
    <row r="596" spans="2:26" s="1239" customFormat="1" ht="19.899999999999999" customHeight="1">
      <c r="B596" s="839"/>
      <c r="C596" s="839"/>
      <c r="D596" s="839"/>
      <c r="E596" s="839"/>
      <c r="F596" s="839"/>
      <c r="G596" s="839"/>
      <c r="H596" s="839"/>
      <c r="I596" s="839"/>
      <c r="J596" s="839"/>
      <c r="K596" s="839"/>
      <c r="L596" s="839"/>
      <c r="M596" s="839"/>
      <c r="N596" s="345"/>
      <c r="O596" s="839"/>
      <c r="P596" s="839"/>
      <c r="Q596" s="839"/>
      <c r="R596" s="839"/>
      <c r="S596" s="839"/>
      <c r="T596" s="839"/>
      <c r="U596" s="839"/>
      <c r="V596" s="839"/>
      <c r="W596" s="839"/>
      <c r="X596" s="839"/>
      <c r="Y596" s="839"/>
      <c r="Z596" s="839"/>
    </row>
    <row r="597" spans="2:26" s="1239" customFormat="1" ht="19.899999999999999" customHeight="1">
      <c r="B597" s="839"/>
      <c r="C597" s="839"/>
      <c r="D597" s="839"/>
      <c r="E597" s="839"/>
      <c r="F597" s="839"/>
      <c r="G597" s="839"/>
      <c r="H597" s="839"/>
      <c r="I597" s="839"/>
      <c r="J597" s="839"/>
      <c r="K597" s="839"/>
      <c r="L597" s="839"/>
      <c r="M597" s="839"/>
      <c r="N597" s="345"/>
      <c r="O597" s="839"/>
      <c r="P597" s="839"/>
      <c r="Q597" s="839"/>
      <c r="R597" s="839"/>
      <c r="S597" s="839"/>
      <c r="T597" s="839"/>
      <c r="U597" s="839"/>
      <c r="V597" s="839"/>
      <c r="W597" s="839"/>
      <c r="X597" s="839"/>
      <c r="Y597" s="839"/>
      <c r="Z597" s="839"/>
    </row>
    <row r="598" spans="2:26" s="1239" customFormat="1" ht="19.899999999999999" customHeight="1">
      <c r="B598" s="839"/>
      <c r="C598" s="839"/>
      <c r="D598" s="839"/>
      <c r="E598" s="839"/>
      <c r="F598" s="839"/>
      <c r="G598" s="839"/>
      <c r="H598" s="839"/>
      <c r="I598" s="839"/>
      <c r="J598" s="839"/>
      <c r="K598" s="839"/>
      <c r="L598" s="839"/>
      <c r="M598" s="839"/>
      <c r="N598" s="345"/>
      <c r="O598" s="839"/>
      <c r="P598" s="839"/>
      <c r="Q598" s="839"/>
      <c r="R598" s="839"/>
      <c r="S598" s="839"/>
      <c r="T598" s="839"/>
      <c r="U598" s="839"/>
      <c r="V598" s="839"/>
      <c r="W598" s="839"/>
      <c r="X598" s="839"/>
      <c r="Y598" s="839"/>
      <c r="Z598" s="839"/>
    </row>
    <row r="599" spans="2:26" s="1239" customFormat="1" ht="19.899999999999999" customHeight="1">
      <c r="B599" s="839"/>
      <c r="C599" s="839"/>
      <c r="D599" s="839"/>
      <c r="E599" s="839"/>
      <c r="F599" s="839"/>
      <c r="G599" s="839"/>
      <c r="H599" s="839"/>
      <c r="I599" s="839"/>
      <c r="J599" s="839"/>
      <c r="K599" s="839"/>
      <c r="L599" s="839"/>
      <c r="M599" s="839"/>
      <c r="N599" s="345"/>
      <c r="O599" s="839"/>
      <c r="P599" s="839"/>
      <c r="Q599" s="839"/>
      <c r="R599" s="839"/>
      <c r="S599" s="839"/>
      <c r="T599" s="839"/>
      <c r="U599" s="839"/>
      <c r="V599" s="839"/>
      <c r="W599" s="839"/>
      <c r="X599" s="839"/>
      <c r="Y599" s="839"/>
      <c r="Z599" s="839"/>
    </row>
    <row r="600" spans="2:26" s="1239" customFormat="1" ht="19.899999999999999" customHeight="1">
      <c r="B600" s="839"/>
      <c r="C600" s="839"/>
      <c r="D600" s="839"/>
      <c r="E600" s="839"/>
      <c r="F600" s="839"/>
      <c r="G600" s="839"/>
      <c r="H600" s="839"/>
      <c r="I600" s="839"/>
      <c r="J600" s="839"/>
      <c r="K600" s="839"/>
      <c r="L600" s="839"/>
      <c r="M600" s="839"/>
      <c r="N600" s="345"/>
      <c r="O600" s="839"/>
      <c r="P600" s="839"/>
      <c r="Q600" s="839"/>
      <c r="R600" s="839"/>
      <c r="S600" s="839"/>
      <c r="T600" s="839"/>
      <c r="U600" s="839"/>
      <c r="V600" s="839"/>
      <c r="W600" s="839"/>
      <c r="X600" s="839"/>
      <c r="Y600" s="839"/>
      <c r="Z600" s="839"/>
    </row>
    <row r="601" spans="2:26" s="1239" customFormat="1" ht="19.899999999999999" customHeight="1">
      <c r="B601" s="839"/>
      <c r="C601" s="839"/>
      <c r="D601" s="839"/>
      <c r="E601" s="839"/>
      <c r="F601" s="839"/>
      <c r="G601" s="839"/>
      <c r="H601" s="839"/>
      <c r="I601" s="839"/>
      <c r="J601" s="839"/>
      <c r="K601" s="839"/>
      <c r="L601" s="839"/>
      <c r="M601" s="839"/>
      <c r="N601" s="345"/>
      <c r="O601" s="839"/>
      <c r="P601" s="839"/>
      <c r="Q601" s="839"/>
      <c r="R601" s="839"/>
      <c r="S601" s="839"/>
      <c r="T601" s="839"/>
      <c r="U601" s="839"/>
      <c r="V601" s="839"/>
      <c r="W601" s="839"/>
      <c r="X601" s="839"/>
      <c r="Y601" s="839"/>
      <c r="Z601" s="839"/>
    </row>
    <row r="602" spans="2:26" s="1239" customFormat="1" ht="19.899999999999999" customHeight="1">
      <c r="B602" s="839"/>
      <c r="C602" s="839"/>
      <c r="D602" s="839"/>
      <c r="E602" s="839"/>
      <c r="F602" s="839"/>
      <c r="G602" s="839"/>
      <c r="H602" s="839"/>
      <c r="I602" s="839"/>
      <c r="J602" s="839"/>
      <c r="K602" s="839"/>
      <c r="L602" s="839"/>
      <c r="M602" s="839"/>
      <c r="N602" s="345"/>
      <c r="O602" s="839"/>
      <c r="P602" s="839"/>
      <c r="Q602" s="839"/>
      <c r="R602" s="839"/>
      <c r="S602" s="839"/>
      <c r="T602" s="839"/>
      <c r="U602" s="839"/>
      <c r="V602" s="839"/>
      <c r="W602" s="839"/>
      <c r="X602" s="839"/>
      <c r="Y602" s="839"/>
      <c r="Z602" s="839"/>
    </row>
    <row r="603" spans="2:26" s="1239" customFormat="1" ht="19.899999999999999" customHeight="1">
      <c r="B603" s="839"/>
      <c r="C603" s="839"/>
      <c r="D603" s="839"/>
      <c r="E603" s="839"/>
      <c r="F603" s="839"/>
      <c r="G603" s="839"/>
      <c r="H603" s="839"/>
      <c r="I603" s="839"/>
      <c r="J603" s="839"/>
      <c r="K603" s="839"/>
      <c r="L603" s="839"/>
      <c r="M603" s="839"/>
      <c r="N603" s="345"/>
      <c r="O603" s="839"/>
      <c r="P603" s="839"/>
      <c r="Q603" s="839"/>
      <c r="R603" s="839"/>
      <c r="S603" s="839"/>
      <c r="T603" s="839"/>
      <c r="U603" s="839"/>
      <c r="V603" s="839"/>
      <c r="W603" s="839"/>
      <c r="X603" s="839"/>
      <c r="Y603" s="839"/>
      <c r="Z603" s="839"/>
    </row>
    <row r="604" spans="2:26" s="1239" customFormat="1" ht="19.899999999999999" customHeight="1">
      <c r="B604" s="839"/>
      <c r="C604" s="839"/>
      <c r="D604" s="839"/>
      <c r="E604" s="839"/>
      <c r="F604" s="839"/>
      <c r="G604" s="839"/>
      <c r="H604" s="839"/>
      <c r="I604" s="839"/>
      <c r="J604" s="839"/>
      <c r="K604" s="839"/>
      <c r="L604" s="839"/>
      <c r="M604" s="839"/>
      <c r="N604" s="345"/>
      <c r="O604" s="839"/>
      <c r="P604" s="839"/>
      <c r="Q604" s="839"/>
      <c r="R604" s="839"/>
      <c r="S604" s="839"/>
      <c r="T604" s="839"/>
      <c r="U604" s="839"/>
      <c r="V604" s="839"/>
      <c r="W604" s="839"/>
      <c r="X604" s="839"/>
      <c r="Y604" s="839"/>
      <c r="Z604" s="839"/>
    </row>
  </sheetData>
  <mergeCells count="18">
    <mergeCell ref="E13:G13"/>
    <mergeCell ref="A91:D91"/>
    <mergeCell ref="H13:I13"/>
    <mergeCell ref="J13:K13"/>
    <mergeCell ref="L13:M13"/>
    <mergeCell ref="C30:F30"/>
    <mergeCell ref="C72:F72"/>
    <mergeCell ref="A13:B13"/>
    <mergeCell ref="C13:C14"/>
    <mergeCell ref="D13:D14"/>
    <mergeCell ref="C90:F90"/>
    <mergeCell ref="A2:M5"/>
    <mergeCell ref="A6:C6"/>
    <mergeCell ref="D6:H6"/>
    <mergeCell ref="I6:M6"/>
    <mergeCell ref="A12:M12"/>
    <mergeCell ref="B7:C7"/>
    <mergeCell ref="B9:C9"/>
  </mergeCells>
  <phoneticPr fontId="103" type="noConversion"/>
  <printOptions horizontalCentered="1"/>
  <pageMargins left="0.39370078740157483" right="0.39370078740157483" top="0.78740157480314965" bottom="0.98425196850393704" header="0" footer="0.31496062992125984"/>
  <pageSetup paperSize="9" scale="57" firstPageNumber="34" fitToWidth="0" fitToHeight="0" orientation="landscape" r:id="rId1"/>
  <rowBreaks count="3" manualBreakCount="3">
    <brk id="30" max="12" man="1"/>
    <brk id="52" max="12" man="1"/>
    <brk id="72"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tabColor rgb="FF002060"/>
    <pageSetUpPr fitToPage="1"/>
  </sheetPr>
  <dimension ref="A1:BC873"/>
  <sheetViews>
    <sheetView showGridLines="0" view="pageBreakPreview" topLeftCell="A74" zoomScale="70" zoomScaleNormal="80" zoomScaleSheetLayoutView="70" workbookViewId="0">
      <selection activeCell="U153" sqref="U153"/>
    </sheetView>
  </sheetViews>
  <sheetFormatPr defaultColWidth="9.140625" defaultRowHeight="14.25"/>
  <cols>
    <col min="1" max="1" width="9.5703125" style="480" customWidth="1"/>
    <col min="2" max="2" width="13.85546875" style="540" customWidth="1"/>
    <col min="3" max="3" width="71.140625" style="541" customWidth="1"/>
    <col min="4" max="4" width="7.5703125" style="1064" customWidth="1"/>
    <col min="5" max="5" width="2.7109375" style="543" customWidth="1"/>
    <col min="6" max="6" width="7.5703125" style="1063" customWidth="1"/>
    <col min="7" max="7" width="7.5703125" style="542" customWidth="1"/>
    <col min="8" max="8" width="2.7109375" style="481" customWidth="1"/>
    <col min="9" max="9" width="7.5703125" style="544" customWidth="1"/>
    <col min="10" max="10" width="8.7109375" style="545" customWidth="1"/>
    <col min="11" max="12" width="14.42578125" style="546" customWidth="1"/>
    <col min="13" max="13" width="13.7109375" style="545" customWidth="1"/>
    <col min="14" max="14" width="13.7109375" style="547" customWidth="1"/>
    <col min="15" max="15" width="15.7109375" style="548" customWidth="1"/>
    <col min="16" max="16" width="15.85546875" style="481" customWidth="1"/>
    <col min="17" max="17" width="13.5703125" style="549" customWidth="1"/>
    <col min="18" max="18" width="14.7109375" style="550" bestFit="1" customWidth="1"/>
    <col min="19" max="19" width="6.7109375" style="539" customWidth="1"/>
    <col min="20" max="20" width="12.140625" style="481" customWidth="1"/>
    <col min="21" max="21" width="40.7109375" style="481" customWidth="1"/>
    <col min="22" max="22" width="14.7109375" style="481" customWidth="1"/>
    <col min="23" max="23" width="5.42578125" style="481" customWidth="1"/>
    <col min="24" max="24" width="29.140625" style="481" bestFit="1" customWidth="1"/>
    <col min="25" max="34" width="5.42578125" style="481" customWidth="1"/>
    <col min="35" max="51" width="9.140625" style="481" customWidth="1"/>
    <col min="52" max="52" width="11.5703125" style="481" customWidth="1"/>
    <col min="53" max="53" width="18.85546875" style="481" bestFit="1" customWidth="1"/>
    <col min="54" max="54" width="17" style="481" customWidth="1"/>
    <col min="55" max="55" width="13.28515625" style="481" customWidth="1"/>
    <col min="56" max="56" width="24.28515625" style="481" customWidth="1"/>
    <col min="57" max="57" width="19" style="481" bestFit="1" customWidth="1"/>
    <col min="58" max="58" width="27.85546875" style="481" customWidth="1"/>
    <col min="59" max="59" width="14.28515625" style="481" customWidth="1"/>
    <col min="60" max="241" width="9.140625" style="481" customWidth="1"/>
    <col min="242" max="242" width="13.42578125" style="481" customWidth="1"/>
    <col min="243" max="243" width="55.5703125" style="481" customWidth="1"/>
    <col min="244" max="244" width="7.7109375" style="481" customWidth="1"/>
    <col min="245" max="245" width="1.5703125" style="481" customWidth="1"/>
    <col min="246" max="246" width="7.28515625" style="481" customWidth="1"/>
    <col min="247" max="247" width="7.7109375" style="481" customWidth="1"/>
    <col min="248" max="248" width="1.5703125" style="481" customWidth="1"/>
    <col min="249" max="249" width="7.28515625" style="481" customWidth="1"/>
    <col min="250" max="250" width="4.7109375" style="481" customWidth="1"/>
    <col min="251" max="251" width="13.85546875" style="481" customWidth="1"/>
    <col min="252" max="253" width="13.140625" style="481" customWidth="1"/>
    <col min="254" max="254" width="12.7109375" style="481" customWidth="1"/>
    <col min="255" max="255" width="6.85546875" style="481" customWidth="1"/>
    <col min="256" max="16384" width="9.140625" style="481"/>
  </cols>
  <sheetData>
    <row r="1" spans="1:55" s="8" customFormat="1" ht="12.75">
      <c r="A1" s="15"/>
      <c r="B1" s="2566" t="s">
        <v>375</v>
      </c>
      <c r="C1" s="2567"/>
      <c r="D1" s="2567"/>
      <c r="E1" s="2567"/>
      <c r="F1" s="2567"/>
      <c r="G1" s="2567"/>
      <c r="H1" s="2567"/>
      <c r="I1" s="2567"/>
      <c r="J1" s="2567"/>
      <c r="K1" s="2567"/>
      <c r="L1" s="2567"/>
      <c r="M1" s="2567"/>
      <c r="N1" s="2567"/>
      <c r="O1" s="2567"/>
      <c r="P1" s="2567"/>
      <c r="Q1" s="2567"/>
      <c r="R1" s="2567"/>
      <c r="S1" s="2567"/>
      <c r="T1" s="2567"/>
      <c r="U1" s="2568"/>
      <c r="V1" s="1657"/>
    </row>
    <row r="2" spans="1:55" s="8" customFormat="1" ht="12.75">
      <c r="A2" s="15"/>
      <c r="B2" s="2569"/>
      <c r="C2" s="2570"/>
      <c r="D2" s="2570"/>
      <c r="E2" s="2570"/>
      <c r="F2" s="2570"/>
      <c r="G2" s="2570"/>
      <c r="H2" s="2570"/>
      <c r="I2" s="2570"/>
      <c r="J2" s="2570"/>
      <c r="K2" s="2570"/>
      <c r="L2" s="2570"/>
      <c r="M2" s="2570"/>
      <c r="N2" s="2570"/>
      <c r="O2" s="2570"/>
      <c r="P2" s="2570"/>
      <c r="Q2" s="2570"/>
      <c r="R2" s="2570"/>
      <c r="S2" s="2570"/>
      <c r="T2" s="2570"/>
      <c r="U2" s="2571"/>
      <c r="V2" s="1657"/>
    </row>
    <row r="3" spans="1:55" s="8" customFormat="1" ht="12.75">
      <c r="A3" s="15"/>
      <c r="B3" s="2569"/>
      <c r="C3" s="2570"/>
      <c r="D3" s="2570"/>
      <c r="E3" s="2570"/>
      <c r="F3" s="2570"/>
      <c r="G3" s="2570"/>
      <c r="H3" s="2570"/>
      <c r="I3" s="2570"/>
      <c r="J3" s="2570"/>
      <c r="K3" s="2570"/>
      <c r="L3" s="2570"/>
      <c r="M3" s="2570"/>
      <c r="N3" s="2570"/>
      <c r="O3" s="2570"/>
      <c r="P3" s="2570"/>
      <c r="Q3" s="2570"/>
      <c r="R3" s="2570"/>
      <c r="S3" s="2570"/>
      <c r="T3" s="2570"/>
      <c r="U3" s="2571"/>
      <c r="V3" s="1657"/>
    </row>
    <row r="4" spans="1:55" s="8" customFormat="1" ht="12.75">
      <c r="A4" s="15"/>
      <c r="B4" s="2569"/>
      <c r="C4" s="2570"/>
      <c r="D4" s="2570"/>
      <c r="E4" s="2570"/>
      <c r="F4" s="2570"/>
      <c r="G4" s="2570"/>
      <c r="H4" s="2570"/>
      <c r="I4" s="2570"/>
      <c r="J4" s="2570"/>
      <c r="K4" s="2570"/>
      <c r="L4" s="2570"/>
      <c r="M4" s="2570"/>
      <c r="N4" s="2570"/>
      <c r="O4" s="2570"/>
      <c r="P4" s="2570"/>
      <c r="Q4" s="2570"/>
      <c r="R4" s="2570"/>
      <c r="S4" s="2570"/>
      <c r="T4" s="2570"/>
      <c r="U4" s="2571"/>
      <c r="V4" s="1657"/>
    </row>
    <row r="5" spans="1:55" s="8" customFormat="1" ht="12.75">
      <c r="A5" s="15"/>
      <c r="B5" s="2397" t="s">
        <v>9</v>
      </c>
      <c r="C5" s="2400"/>
      <c r="D5" s="2399"/>
      <c r="E5" s="2397" t="s">
        <v>404</v>
      </c>
      <c r="F5" s="2400"/>
      <c r="G5" s="2400"/>
      <c r="H5" s="2400"/>
      <c r="I5" s="2400"/>
      <c r="J5" s="2400"/>
      <c r="K5" s="2400"/>
      <c r="L5" s="2400"/>
      <c r="M5" s="2400"/>
      <c r="N5" s="2399"/>
      <c r="O5" s="2397" t="s">
        <v>194</v>
      </c>
      <c r="P5" s="2400"/>
      <c r="Q5" s="2400"/>
      <c r="R5" s="2400"/>
      <c r="S5" s="2400"/>
      <c r="T5" s="2400"/>
      <c r="U5" s="2399"/>
      <c r="V5" s="1657"/>
    </row>
    <row r="6" spans="1:55" s="8" customFormat="1" ht="20.25" customHeight="1">
      <c r="A6" s="15"/>
      <c r="B6" s="824" t="s">
        <v>405</v>
      </c>
      <c r="C6" s="823" t="str">
        <f>'12 - FINANCEIRA'!B7</f>
        <v>Rua Ceciliano Abel de Almeida e Rua Lourenço Sales, Nova Itaparica</v>
      </c>
      <c r="D6" s="1058"/>
      <c r="E6" s="2572" t="s">
        <v>648</v>
      </c>
      <c r="F6" s="2573"/>
      <c r="G6" s="2573"/>
      <c r="H6" s="2573"/>
      <c r="I6" s="2573"/>
      <c r="J6" s="2573"/>
      <c r="K6" s="2573"/>
      <c r="L6" s="2573"/>
      <c r="M6" s="472"/>
      <c r="N6" s="820"/>
      <c r="O6" s="665" t="s">
        <v>885</v>
      </c>
      <c r="P6" s="666"/>
      <c r="S6" s="1128"/>
      <c r="U6" s="664"/>
      <c r="V6" s="1657"/>
      <c r="BB6" s="473"/>
      <c r="BC6" s="474"/>
    </row>
    <row r="7" spans="1:55" s="8" customFormat="1" ht="20.25" customHeight="1">
      <c r="A7" s="15"/>
      <c r="B7" s="806" t="s">
        <v>79</v>
      </c>
      <c r="C7" s="2578" t="s">
        <v>580</v>
      </c>
      <c r="D7" s="2579"/>
      <c r="E7" s="2572" t="s">
        <v>649</v>
      </c>
      <c r="F7" s="2573"/>
      <c r="G7" s="2573"/>
      <c r="H7" s="2573"/>
      <c r="I7" s="2573"/>
      <c r="J7" s="2573"/>
      <c r="K7" s="2573"/>
      <c r="L7" s="2573"/>
      <c r="M7" s="474"/>
      <c r="N7" s="820"/>
      <c r="O7" s="665" t="s">
        <v>581</v>
      </c>
      <c r="P7" s="666"/>
      <c r="Q7" s="667"/>
      <c r="U7" s="664"/>
      <c r="V7" s="1657"/>
      <c r="BB7" s="433"/>
      <c r="BC7" s="474"/>
    </row>
    <row r="8" spans="1:55" s="8" customFormat="1" ht="20.25" customHeight="1">
      <c r="A8" s="15"/>
      <c r="B8" s="806" t="s">
        <v>11</v>
      </c>
      <c r="C8" s="2404">
        <f>'12 - FINANCEIRA'!B9</f>
        <v>8</v>
      </c>
      <c r="D8" s="2405"/>
      <c r="E8" s="2572" t="s">
        <v>693</v>
      </c>
      <c r="F8" s="2573"/>
      <c r="G8" s="2573"/>
      <c r="H8" s="2573"/>
      <c r="I8" s="2573"/>
      <c r="J8" s="2573"/>
      <c r="K8" s="2573"/>
      <c r="L8" s="2573"/>
      <c r="M8" s="434"/>
      <c r="N8" s="820"/>
      <c r="O8" s="665" t="s">
        <v>582</v>
      </c>
      <c r="P8" s="666"/>
      <c r="Q8" s="668"/>
      <c r="S8" s="819" t="s">
        <v>584</v>
      </c>
      <c r="U8" s="664"/>
      <c r="V8" s="1657"/>
      <c r="BB8" s="433"/>
      <c r="BC8" s="434"/>
    </row>
    <row r="9" spans="1:55" s="8" customFormat="1" ht="21" customHeight="1">
      <c r="A9" s="15"/>
      <c r="B9" s="806" t="s">
        <v>12</v>
      </c>
      <c r="C9" s="2404" t="str">
        <f>'12 - FINANCEIRA'!B10</f>
        <v>01/06/2023 a 27/06/2023</v>
      </c>
      <c r="D9" s="2405"/>
      <c r="E9" s="2580" t="s">
        <v>694</v>
      </c>
      <c r="F9" s="2581"/>
      <c r="G9" s="2581"/>
      <c r="H9" s="2581"/>
      <c r="I9" s="2581"/>
      <c r="J9" s="2581"/>
      <c r="K9" s="2581"/>
      <c r="L9" s="2581"/>
      <c r="M9" s="434"/>
      <c r="N9" s="820"/>
      <c r="O9" s="665" t="s">
        <v>583</v>
      </c>
      <c r="P9" s="666"/>
      <c r="Q9" s="668"/>
      <c r="U9" s="664"/>
      <c r="V9" s="1657"/>
    </row>
    <row r="10" spans="1:55" s="8" customFormat="1" ht="15">
      <c r="A10" s="15"/>
      <c r="B10" s="818"/>
      <c r="C10" s="438"/>
      <c r="D10" s="810"/>
      <c r="E10" s="872"/>
      <c r="F10" s="1059"/>
      <c r="G10" s="438"/>
      <c r="H10" s="438"/>
      <c r="I10" s="438"/>
      <c r="J10" s="475"/>
      <c r="K10" s="476"/>
      <c r="L10" s="477"/>
      <c r="M10" s="478"/>
      <c r="N10" s="873"/>
      <c r="O10" s="479"/>
      <c r="P10" s="479"/>
      <c r="Q10" s="479"/>
      <c r="R10" s="479"/>
      <c r="S10" s="479"/>
      <c r="T10" s="479"/>
      <c r="U10" s="873"/>
      <c r="V10" s="1657"/>
    </row>
    <row r="11" spans="1:55" s="8" customFormat="1" ht="18">
      <c r="A11" s="15"/>
      <c r="B11" s="2574" t="s">
        <v>418</v>
      </c>
      <c r="C11" s="2575"/>
      <c r="D11" s="2575"/>
      <c r="E11" s="2575"/>
      <c r="F11" s="2575"/>
      <c r="G11" s="2575"/>
      <c r="H11" s="2575"/>
      <c r="I11" s="2575"/>
      <c r="J11" s="2575"/>
      <c r="K11" s="2575"/>
      <c r="L11" s="2575"/>
      <c r="M11" s="2575"/>
      <c r="N11" s="2575"/>
      <c r="O11" s="2575"/>
      <c r="P11" s="2575"/>
      <c r="Q11" s="2575"/>
      <c r="R11" s="2575"/>
      <c r="S11" s="2575"/>
      <c r="T11" s="2575"/>
      <c r="U11" s="2576"/>
      <c r="V11" s="1657"/>
    </row>
    <row r="12" spans="1:55" s="8" customFormat="1" ht="18">
      <c r="A12" s="15"/>
      <c r="B12" s="874"/>
      <c r="C12" s="669"/>
      <c r="D12" s="1060"/>
      <c r="E12" s="1060"/>
      <c r="F12" s="1060"/>
      <c r="G12" s="669"/>
      <c r="H12" s="669"/>
      <c r="I12" s="669"/>
      <c r="J12" s="669"/>
      <c r="K12" s="669"/>
      <c r="L12" s="669"/>
      <c r="M12" s="669"/>
      <c r="N12" s="669"/>
      <c r="O12" s="669"/>
      <c r="P12" s="669"/>
      <c r="Q12" s="669"/>
      <c r="R12" s="669"/>
      <c r="S12" s="669"/>
      <c r="T12" s="669"/>
      <c r="U12" s="670"/>
      <c r="V12" s="1657"/>
    </row>
    <row r="13" spans="1:55" ht="15.75">
      <c r="B13" s="482">
        <v>1</v>
      </c>
      <c r="C13" s="483" t="str">
        <f>VLOOKUP(LEFT(B13,3),'12 - FINANCEIRA'!_xlnm.Print_Area,2,FALSE)</f>
        <v>ADMINISTRAÇÃO E CANTEIRO</v>
      </c>
      <c r="D13" s="484"/>
      <c r="E13" s="484"/>
      <c r="F13" s="484"/>
      <c r="G13" s="643"/>
      <c r="H13" s="644"/>
      <c r="I13" s="644"/>
      <c r="J13" s="644"/>
      <c r="K13" s="644"/>
      <c r="L13" s="644"/>
      <c r="M13" s="485"/>
      <c r="N13" s="486"/>
      <c r="O13" s="644"/>
      <c r="P13" s="644"/>
      <c r="Q13" s="644"/>
      <c r="R13" s="644"/>
      <c r="S13" s="644"/>
      <c r="T13" s="644"/>
      <c r="U13" s="671"/>
      <c r="V13" s="487">
        <f>SUM(V14:V147)</f>
        <v>142.56000000000003</v>
      </c>
    </row>
    <row r="14" spans="1:55" s="494" customFormat="1" ht="15.75">
      <c r="A14" s="488"/>
      <c r="B14" s="489" t="s">
        <v>381</v>
      </c>
      <c r="C14" s="490" t="str">
        <f>VLOOKUP(B14,'12 - FINANCEIRA'!_xlnm.Print_Area,2,FALSE)</f>
        <v>IMPLANTAÇÃO DO CANTEIRO DE OBRAS</v>
      </c>
      <c r="D14" s="491"/>
      <c r="E14" s="491"/>
      <c r="F14" s="491"/>
      <c r="G14" s="2492"/>
      <c r="H14" s="2493"/>
      <c r="I14" s="2493"/>
      <c r="J14" s="2493"/>
      <c r="K14" s="2493"/>
      <c r="L14" s="2493"/>
      <c r="M14" s="492"/>
      <c r="N14" s="493"/>
      <c r="O14" s="2493"/>
      <c r="P14" s="2493"/>
      <c r="Q14" s="2493"/>
      <c r="R14" s="2493"/>
      <c r="S14" s="552"/>
      <c r="T14" s="672"/>
      <c r="U14" s="875"/>
      <c r="V14" s="487">
        <f>SUM(V15:V84)</f>
        <v>35.280000000000015</v>
      </c>
    </row>
    <row r="15" spans="1:55" s="497" customFormat="1" ht="15.75" hidden="1">
      <c r="A15" s="495"/>
      <c r="B15" s="2423" t="str">
        <f>VLOOKUP(A23,'12 - FINANCEIRA'!_xlnm.Print_Area,1,FALSE)</f>
        <v>1.1.1</v>
      </c>
      <c r="C15" s="2421" t="str">
        <f>VLOOKUP(A23,'12 - FINANCEIRA'!_xlnm.Print_Area,3,FALSE)</f>
        <v>Rede de água com padrão de entrada d'água diâm. 3/4", conf. espec. CESAN, incl. tubos e conexões para alimentação, distribuição, extravasor e limpeza, cons. o padrão a 25m, conf. projeto (1 utilização)</v>
      </c>
      <c r="D15" s="2479" t="s">
        <v>97</v>
      </c>
      <c r="E15" s="2480"/>
      <c r="F15" s="2480"/>
      <c r="G15" s="2480"/>
      <c r="H15" s="2480"/>
      <c r="I15" s="2481"/>
      <c r="J15" s="2416" t="s">
        <v>98</v>
      </c>
      <c r="K15" s="2416" t="s">
        <v>102</v>
      </c>
      <c r="L15" s="2416" t="s">
        <v>103</v>
      </c>
      <c r="M15" s="2416" t="s">
        <v>228</v>
      </c>
      <c r="N15" s="2416" t="s">
        <v>229</v>
      </c>
      <c r="O15" s="2416" t="s">
        <v>107</v>
      </c>
      <c r="P15" s="496" t="s">
        <v>153</v>
      </c>
      <c r="Q15" s="2416" t="s">
        <v>16</v>
      </c>
      <c r="R15" s="2425" t="s">
        <v>2</v>
      </c>
      <c r="S15" s="2416" t="s">
        <v>99</v>
      </c>
      <c r="T15" s="2416" t="s">
        <v>17</v>
      </c>
      <c r="U15" s="2428" t="s">
        <v>362</v>
      </c>
      <c r="V15" s="870">
        <f t="shared" ref="V15:V22" si="0">V16</f>
        <v>0</v>
      </c>
      <c r="W15" s="26"/>
      <c r="X15" s="26"/>
      <c r="Y15" s="26"/>
      <c r="Z15" s="27"/>
      <c r="AA15" s="9"/>
      <c r="AB15" s="9"/>
      <c r="AC15" s="9"/>
      <c r="AD15" s="9"/>
      <c r="AE15" s="9"/>
      <c r="AF15" s="9"/>
      <c r="AG15" s="9"/>
      <c r="AH15" s="9"/>
      <c r="AI15" s="9"/>
      <c r="AJ15" s="9"/>
    </row>
    <row r="16" spans="1:55" s="497" customFormat="1" ht="15.75" hidden="1">
      <c r="A16" s="495"/>
      <c r="B16" s="2471" t="e">
        <f>LEFT(#REF!,5)</f>
        <v>#REF!</v>
      </c>
      <c r="C16" s="2472" t="e">
        <f>VLOOKUP(LEFT(#REF!,5),'12 - FINANCEIRA'!_xlnm.Print_Area,2,FALSE)</f>
        <v>#REF!</v>
      </c>
      <c r="D16" s="2430" t="s">
        <v>14</v>
      </c>
      <c r="E16" s="2431"/>
      <c r="F16" s="2432"/>
      <c r="G16" s="2433" t="s">
        <v>15</v>
      </c>
      <c r="H16" s="2434"/>
      <c r="I16" s="2435"/>
      <c r="J16" s="2427"/>
      <c r="K16" s="2427"/>
      <c r="L16" s="2427"/>
      <c r="M16" s="2427"/>
      <c r="N16" s="2427"/>
      <c r="O16" s="2427"/>
      <c r="P16" s="498" t="s">
        <v>104</v>
      </c>
      <c r="Q16" s="2427"/>
      <c r="R16" s="2426"/>
      <c r="S16" s="2427"/>
      <c r="T16" s="2427"/>
      <c r="U16" s="2429"/>
      <c r="V16" s="870">
        <f t="shared" si="0"/>
        <v>0</v>
      </c>
      <c r="W16" s="26"/>
      <c r="X16" s="26"/>
      <c r="Y16" s="26"/>
      <c r="Z16" s="27"/>
      <c r="AA16" s="9"/>
      <c r="AB16" s="9"/>
      <c r="AC16" s="9"/>
      <c r="AD16" s="9"/>
      <c r="AE16" s="9"/>
      <c r="AF16" s="9"/>
      <c r="AG16" s="9"/>
      <c r="AH16" s="9"/>
      <c r="AI16" s="9"/>
      <c r="AJ16" s="9"/>
    </row>
    <row r="17" spans="1:36" s="9" customFormat="1" ht="15" hidden="1">
      <c r="A17" s="944"/>
      <c r="B17" s="922"/>
      <c r="C17" s="1280" t="s">
        <v>698</v>
      </c>
      <c r="D17" s="82"/>
      <c r="E17" s="44"/>
      <c r="F17" s="83"/>
      <c r="G17" s="43"/>
      <c r="H17" s="44"/>
      <c r="I17" s="45"/>
      <c r="J17" s="46"/>
      <c r="K17" s="47">
        <v>25</v>
      </c>
      <c r="L17" s="48"/>
      <c r="M17" s="49"/>
      <c r="N17" s="211"/>
      <c r="O17" s="50"/>
      <c r="P17" s="48"/>
      <c r="Q17" s="209"/>
      <c r="R17" s="535">
        <v>25</v>
      </c>
      <c r="S17" s="876" t="s">
        <v>8</v>
      </c>
      <c r="T17" s="90" t="s">
        <v>368</v>
      </c>
      <c r="U17" s="39" t="s">
        <v>703</v>
      </c>
      <c r="V17" s="870">
        <f t="shared" si="0"/>
        <v>0</v>
      </c>
      <c r="W17" s="26"/>
      <c r="X17" s="26"/>
      <c r="Y17" s="26"/>
      <c r="Z17" s="27"/>
      <c r="AA17" s="41"/>
      <c r="AB17" s="42"/>
    </row>
    <row r="18" spans="1:36" s="507" customFormat="1" ht="15" hidden="1">
      <c r="A18" s="499"/>
      <c r="B18" s="500"/>
      <c r="C18" s="79"/>
      <c r="D18" s="156"/>
      <c r="E18" s="86"/>
      <c r="F18" s="155"/>
      <c r="G18" s="85"/>
      <c r="H18" s="86"/>
      <c r="I18" s="87"/>
      <c r="J18" s="138"/>
      <c r="K18" s="137"/>
      <c r="L18" s="134"/>
      <c r="M18" s="136"/>
      <c r="N18" s="501"/>
      <c r="O18" s="135"/>
      <c r="P18" s="134"/>
      <c r="Q18" s="225"/>
      <c r="R18" s="508"/>
      <c r="S18" s="509"/>
      <c r="T18" s="262"/>
      <c r="U18" s="212"/>
      <c r="V18" s="870">
        <f t="shared" si="0"/>
        <v>0</v>
      </c>
      <c r="W18" s="503"/>
      <c r="X18" s="503"/>
      <c r="Y18" s="503"/>
      <c r="Z18" s="504"/>
      <c r="AA18" s="505"/>
      <c r="AB18" s="506"/>
    </row>
    <row r="19" spans="1:36" s="515" customFormat="1" ht="15" hidden="1">
      <c r="A19" s="510"/>
      <c r="B19" s="500"/>
      <c r="C19" s="79"/>
      <c r="D19" s="156"/>
      <c r="E19" s="86"/>
      <c r="F19" s="155"/>
      <c r="G19" s="85"/>
      <c r="H19" s="86"/>
      <c r="I19" s="87"/>
      <c r="J19" s="138"/>
      <c r="K19" s="137"/>
      <c r="L19" s="134"/>
      <c r="M19" s="136"/>
      <c r="N19" s="135"/>
      <c r="O19" s="135"/>
      <c r="P19" s="134"/>
      <c r="Q19" s="133"/>
      <c r="R19" s="511"/>
      <c r="S19" s="512"/>
      <c r="T19" s="262"/>
      <c r="U19" s="212"/>
      <c r="V19" s="870">
        <f t="shared" si="0"/>
        <v>0</v>
      </c>
      <c r="W19" s="513"/>
      <c r="X19" s="513"/>
      <c r="Y19" s="513"/>
      <c r="Z19" s="514"/>
    </row>
    <row r="20" spans="1:36" s="8" customFormat="1" ht="15" hidden="1">
      <c r="A20" s="516"/>
      <c r="B20" s="59"/>
      <c r="C20" s="60"/>
      <c r="D20" s="82"/>
      <c r="E20" s="44"/>
      <c r="F20" s="83"/>
      <c r="G20" s="43"/>
      <c r="H20" s="44"/>
      <c r="I20" s="45"/>
      <c r="J20" s="46"/>
      <c r="K20" s="47"/>
      <c r="L20" s="48"/>
      <c r="M20" s="49"/>
      <c r="N20" s="50"/>
      <c r="O20" s="50"/>
      <c r="P20" s="48"/>
      <c r="Q20" s="53"/>
      <c r="R20" s="517"/>
      <c r="S20" s="54"/>
      <c r="T20" s="518"/>
      <c r="U20" s="71"/>
      <c r="V20" s="870">
        <f t="shared" si="0"/>
        <v>0</v>
      </c>
      <c r="AB20" s="15"/>
    </row>
    <row r="21" spans="1:36" s="8" customFormat="1" ht="15.75" hidden="1">
      <c r="A21" s="516"/>
      <c r="B21" s="877"/>
      <c r="C21" s="113"/>
      <c r="D21" s="2436" t="s">
        <v>18</v>
      </c>
      <c r="E21" s="2437"/>
      <c r="F21" s="2437"/>
      <c r="G21" s="2437"/>
      <c r="H21" s="2437"/>
      <c r="I21" s="2438"/>
      <c r="J21" s="2439">
        <f>VLOOKUP(A23,'12 - FINANCEIRA'!_xlnm.Print_Area,6,FALSE)</f>
        <v>25</v>
      </c>
      <c r="K21" s="2440"/>
      <c r="L21" s="519" t="str">
        <f>VLOOKUP(A23,'12 - FINANCEIRA'!_xlnm.Print_Area,4,FALSE)</f>
        <v>m</v>
      </c>
      <c r="M21" s="2441" t="s">
        <v>19</v>
      </c>
      <c r="N21" s="2442"/>
      <c r="O21" s="2442"/>
      <c r="P21" s="2442"/>
      <c r="Q21" s="2443"/>
      <c r="R21" s="878">
        <f>SUM(R17:R20)</f>
        <v>25</v>
      </c>
      <c r="S21" s="520" t="str">
        <f>L21</f>
        <v>m</v>
      </c>
      <c r="T21" s="680"/>
      <c r="U21" s="663"/>
      <c r="V21" s="870">
        <f t="shared" si="0"/>
        <v>0</v>
      </c>
      <c r="AB21" s="15"/>
    </row>
    <row r="22" spans="1:36" s="8" customFormat="1" ht="15.75" hidden="1">
      <c r="A22" s="516"/>
      <c r="B22" s="877"/>
      <c r="C22" s="681"/>
      <c r="D22" s="2444" t="s">
        <v>20</v>
      </c>
      <c r="E22" s="2445"/>
      <c r="F22" s="2445"/>
      <c r="G22" s="2445"/>
      <c r="H22" s="2445"/>
      <c r="I22" s="2446"/>
      <c r="J22" s="2450">
        <f>R21/J21</f>
        <v>1</v>
      </c>
      <c r="K22" s="2451"/>
      <c r="L22" s="2454"/>
      <c r="M22" s="2441" t="s">
        <v>21</v>
      </c>
      <c r="N22" s="2442"/>
      <c r="O22" s="2442"/>
      <c r="P22" s="2442"/>
      <c r="Q22" s="2443"/>
      <c r="R22" s="878">
        <f>VLOOKUP(A23,'12 - FINANCEIRA'!_xlnm.Print_Area,8,FALSE)</f>
        <v>25</v>
      </c>
      <c r="S22" s="879" t="str">
        <f>L21</f>
        <v>m</v>
      </c>
      <c r="T22" s="680"/>
      <c r="U22" s="663"/>
      <c r="V22" s="870">
        <f t="shared" si="0"/>
        <v>0</v>
      </c>
      <c r="AB22" s="15"/>
    </row>
    <row r="23" spans="1:36" s="8" customFormat="1" ht="15.75" hidden="1">
      <c r="A23" s="510" t="s">
        <v>376</v>
      </c>
      <c r="B23" s="877"/>
      <c r="C23" s="113"/>
      <c r="D23" s="2447"/>
      <c r="E23" s="2448"/>
      <c r="F23" s="2448"/>
      <c r="G23" s="2448"/>
      <c r="H23" s="2448"/>
      <c r="I23" s="2449"/>
      <c r="J23" s="2452"/>
      <c r="K23" s="2453"/>
      <c r="L23" s="2455"/>
      <c r="M23" s="2456" t="s">
        <v>22</v>
      </c>
      <c r="N23" s="2457"/>
      <c r="O23" s="2457"/>
      <c r="P23" s="2457"/>
      <c r="Q23" s="2458"/>
      <c r="R23" s="521">
        <f>R21-R22</f>
        <v>0</v>
      </c>
      <c r="S23" s="522" t="str">
        <f>L21</f>
        <v>m</v>
      </c>
      <c r="T23" s="680"/>
      <c r="U23" s="663"/>
      <c r="V23" s="870">
        <f>R23</f>
        <v>0</v>
      </c>
      <c r="AB23" s="15"/>
    </row>
    <row r="24" spans="1:36" s="8" customFormat="1" ht="15.75" hidden="1">
      <c r="A24" s="516"/>
      <c r="B24" s="523"/>
      <c r="C24" s="524"/>
      <c r="D24" s="526"/>
      <c r="E24" s="526"/>
      <c r="F24" s="526"/>
      <c r="G24" s="525"/>
      <c r="H24" s="525"/>
      <c r="I24" s="525"/>
      <c r="J24" s="527"/>
      <c r="K24" s="528"/>
      <c r="L24" s="529"/>
      <c r="M24" s="530"/>
      <c r="N24" s="530"/>
      <c r="O24" s="530"/>
      <c r="P24" s="530"/>
      <c r="Q24" s="530"/>
      <c r="R24" s="531"/>
      <c r="S24" s="532"/>
      <c r="T24" s="533"/>
      <c r="U24" s="534"/>
      <c r="V24" s="871">
        <f>SUM(V15:V23)</f>
        <v>0</v>
      </c>
      <c r="AB24" s="15"/>
    </row>
    <row r="25" spans="1:36" s="497" customFormat="1" ht="15.75" hidden="1">
      <c r="A25" s="495"/>
      <c r="B25" s="2423" t="str">
        <f>VLOOKUP(A33,'12 - FINANCEIRA'!_xlnm.Print_Area,1,FALSE)</f>
        <v>1.1.2</v>
      </c>
      <c r="C25" s="2421" t="str">
        <f>VLOOKUP(A33,'12 - FINANCEIRA'!_xlnm.Print_Area,3,FALSE)</f>
        <v>Rede de esgoto, contendo fossa e filtro, inclusive tubos e conexões de ligação entre caixas, considerando distância de 25m, conforme projeto (1 utilização)</v>
      </c>
      <c r="D25" s="2479" t="s">
        <v>97</v>
      </c>
      <c r="E25" s="2480"/>
      <c r="F25" s="2480"/>
      <c r="G25" s="2480"/>
      <c r="H25" s="2480"/>
      <c r="I25" s="2481"/>
      <c r="J25" s="2416" t="s">
        <v>98</v>
      </c>
      <c r="K25" s="2416" t="s">
        <v>102</v>
      </c>
      <c r="L25" s="2416" t="s">
        <v>103</v>
      </c>
      <c r="M25" s="2416" t="s">
        <v>228</v>
      </c>
      <c r="N25" s="2416" t="s">
        <v>229</v>
      </c>
      <c r="O25" s="2416" t="s">
        <v>107</v>
      </c>
      <c r="P25" s="496" t="s">
        <v>153</v>
      </c>
      <c r="Q25" s="2416" t="s">
        <v>16</v>
      </c>
      <c r="R25" s="2425" t="s">
        <v>2</v>
      </c>
      <c r="S25" s="2416" t="s">
        <v>99</v>
      </c>
      <c r="T25" s="2416" t="s">
        <v>17</v>
      </c>
      <c r="U25" s="2428" t="s">
        <v>362</v>
      </c>
      <c r="V25" s="870">
        <f t="shared" ref="V25:V32" si="1">V26</f>
        <v>0</v>
      </c>
      <c r="W25" s="26"/>
      <c r="X25" s="26"/>
      <c r="Y25" s="26"/>
      <c r="Z25" s="27"/>
      <c r="AA25" s="9"/>
      <c r="AB25" s="9"/>
      <c r="AC25" s="9"/>
      <c r="AD25" s="9"/>
      <c r="AE25" s="9"/>
      <c r="AF25" s="9"/>
      <c r="AG25" s="9"/>
      <c r="AH25" s="9"/>
      <c r="AI25" s="9"/>
      <c r="AJ25" s="9"/>
    </row>
    <row r="26" spans="1:36" s="497" customFormat="1" ht="15.75" hidden="1">
      <c r="A26" s="495"/>
      <c r="B26" s="2471" t="e">
        <f>LEFT(#REF!,5)</f>
        <v>#REF!</v>
      </c>
      <c r="C26" s="2472" t="e">
        <f>VLOOKUP(LEFT(#REF!,5),'12 - FINANCEIRA'!_xlnm.Print_Area,2,FALSE)</f>
        <v>#REF!</v>
      </c>
      <c r="D26" s="2430" t="s">
        <v>14</v>
      </c>
      <c r="E26" s="2431"/>
      <c r="F26" s="2432"/>
      <c r="G26" s="2433" t="s">
        <v>15</v>
      </c>
      <c r="H26" s="2434"/>
      <c r="I26" s="2435"/>
      <c r="J26" s="2427"/>
      <c r="K26" s="2427"/>
      <c r="L26" s="2427"/>
      <c r="M26" s="2427"/>
      <c r="N26" s="2427"/>
      <c r="O26" s="2427"/>
      <c r="P26" s="498" t="s">
        <v>104</v>
      </c>
      <c r="Q26" s="2427"/>
      <c r="R26" s="2426"/>
      <c r="S26" s="2427"/>
      <c r="T26" s="2427"/>
      <c r="U26" s="2429"/>
      <c r="V26" s="870">
        <f t="shared" si="1"/>
        <v>0</v>
      </c>
      <c r="W26" s="26"/>
      <c r="X26" s="26"/>
      <c r="Y26" s="26"/>
      <c r="Z26" s="27"/>
      <c r="AA26" s="9"/>
      <c r="AB26" s="9"/>
      <c r="AC26" s="9"/>
      <c r="AD26" s="9"/>
      <c r="AE26" s="9"/>
      <c r="AF26" s="9"/>
      <c r="AG26" s="9"/>
      <c r="AH26" s="9"/>
      <c r="AI26" s="9"/>
      <c r="AJ26" s="9"/>
    </row>
    <row r="27" spans="1:36" s="9" customFormat="1" ht="15" hidden="1">
      <c r="A27" s="944"/>
      <c r="B27" s="922"/>
      <c r="C27" s="1280" t="s">
        <v>698</v>
      </c>
      <c r="D27" s="82"/>
      <c r="E27" s="44"/>
      <c r="F27" s="83"/>
      <c r="G27" s="43"/>
      <c r="H27" s="44"/>
      <c r="I27" s="45"/>
      <c r="J27" s="46"/>
      <c r="K27" s="47">
        <v>25</v>
      </c>
      <c r="L27" s="48"/>
      <c r="M27" s="49"/>
      <c r="N27" s="211"/>
      <c r="O27" s="50"/>
      <c r="P27" s="48"/>
      <c r="Q27" s="209"/>
      <c r="R27" s="535">
        <v>25</v>
      </c>
      <c r="S27" s="876" t="s">
        <v>8</v>
      </c>
      <c r="T27" s="90" t="s">
        <v>368</v>
      </c>
      <c r="U27" s="39" t="s">
        <v>704</v>
      </c>
      <c r="V27" s="870">
        <f t="shared" si="1"/>
        <v>0</v>
      </c>
      <c r="W27" s="26"/>
      <c r="X27" s="26"/>
      <c r="Y27" s="26"/>
      <c r="Z27" s="27"/>
      <c r="AA27" s="41"/>
      <c r="AB27" s="42"/>
    </row>
    <row r="28" spans="1:36" s="507" customFormat="1" ht="15" hidden="1">
      <c r="A28" s="499"/>
      <c r="B28" s="500"/>
      <c r="C28" s="79"/>
      <c r="D28" s="156"/>
      <c r="E28" s="86"/>
      <c r="F28" s="155"/>
      <c r="G28" s="85"/>
      <c r="H28" s="86"/>
      <c r="I28" s="87"/>
      <c r="J28" s="138"/>
      <c r="K28" s="137"/>
      <c r="L28" s="134"/>
      <c r="M28" s="136"/>
      <c r="N28" s="501"/>
      <c r="O28" s="135"/>
      <c r="P28" s="134"/>
      <c r="Q28" s="225"/>
      <c r="R28" s="508"/>
      <c r="S28" s="509"/>
      <c r="T28" s="262"/>
      <c r="U28" s="212"/>
      <c r="V28" s="870">
        <f t="shared" si="1"/>
        <v>0</v>
      </c>
      <c r="W28" s="503"/>
      <c r="X28" s="503"/>
      <c r="Y28" s="503"/>
      <c r="Z28" s="504"/>
      <c r="AA28" s="505"/>
      <c r="AB28" s="506"/>
    </row>
    <row r="29" spans="1:36" s="515" customFormat="1" ht="15" hidden="1">
      <c r="A29" s="510"/>
      <c r="B29" s="500"/>
      <c r="C29" s="79"/>
      <c r="D29" s="156"/>
      <c r="E29" s="86"/>
      <c r="F29" s="155"/>
      <c r="G29" s="85"/>
      <c r="H29" s="86"/>
      <c r="I29" s="87"/>
      <c r="J29" s="138"/>
      <c r="K29" s="137"/>
      <c r="L29" s="134"/>
      <c r="M29" s="136"/>
      <c r="N29" s="135"/>
      <c r="O29" s="135"/>
      <c r="P29" s="134"/>
      <c r="Q29" s="133"/>
      <c r="R29" s="511"/>
      <c r="S29" s="512"/>
      <c r="T29" s="262"/>
      <c r="U29" s="212"/>
      <c r="V29" s="870">
        <f t="shared" si="1"/>
        <v>0</v>
      </c>
      <c r="W29" s="513"/>
      <c r="X29" s="513"/>
      <c r="Y29" s="513"/>
      <c r="Z29" s="514"/>
    </row>
    <row r="30" spans="1:36" s="8" customFormat="1" ht="15" hidden="1">
      <c r="A30" s="516"/>
      <c r="B30" s="59"/>
      <c r="C30" s="60"/>
      <c r="D30" s="82"/>
      <c r="E30" s="44"/>
      <c r="F30" s="83"/>
      <c r="G30" s="43"/>
      <c r="H30" s="44"/>
      <c r="I30" s="45"/>
      <c r="J30" s="46"/>
      <c r="K30" s="47"/>
      <c r="L30" s="48"/>
      <c r="M30" s="49"/>
      <c r="N30" s="50"/>
      <c r="O30" s="50"/>
      <c r="P30" s="48"/>
      <c r="Q30" s="53"/>
      <c r="R30" s="517"/>
      <c r="S30" s="54"/>
      <c r="T30" s="518"/>
      <c r="U30" s="71"/>
      <c r="V30" s="870">
        <f t="shared" si="1"/>
        <v>0</v>
      </c>
      <c r="AB30" s="15"/>
    </row>
    <row r="31" spans="1:36" s="8" customFormat="1" ht="15.75" hidden="1">
      <c r="A31" s="516"/>
      <c r="B31" s="877"/>
      <c r="C31" s="113"/>
      <c r="D31" s="2436" t="s">
        <v>18</v>
      </c>
      <c r="E31" s="2437"/>
      <c r="F31" s="2437"/>
      <c r="G31" s="2437"/>
      <c r="H31" s="2437"/>
      <c r="I31" s="2438"/>
      <c r="J31" s="2439">
        <f>VLOOKUP(A33,'12 - FINANCEIRA'!_xlnm.Print_Area,6,FALSE)</f>
        <v>25</v>
      </c>
      <c r="K31" s="2440"/>
      <c r="L31" s="519" t="str">
        <f>VLOOKUP(A33,'12 - FINANCEIRA'!_xlnm.Print_Area,4,FALSE)</f>
        <v>m</v>
      </c>
      <c r="M31" s="2441" t="s">
        <v>19</v>
      </c>
      <c r="N31" s="2442"/>
      <c r="O31" s="2442"/>
      <c r="P31" s="2442"/>
      <c r="Q31" s="2443"/>
      <c r="R31" s="878">
        <f>SUM(R27:R30)</f>
        <v>25</v>
      </c>
      <c r="S31" s="520" t="str">
        <f>L31</f>
        <v>m</v>
      </c>
      <c r="T31" s="680"/>
      <c r="U31" s="663"/>
      <c r="V31" s="870">
        <f t="shared" si="1"/>
        <v>0</v>
      </c>
      <c r="AB31" s="15"/>
    </row>
    <row r="32" spans="1:36" s="8" customFormat="1" ht="15.75" hidden="1">
      <c r="A32" s="516"/>
      <c r="B32" s="877"/>
      <c r="C32" s="681"/>
      <c r="D32" s="2444" t="s">
        <v>20</v>
      </c>
      <c r="E32" s="2445"/>
      <c r="F32" s="2445"/>
      <c r="G32" s="2445"/>
      <c r="H32" s="2445"/>
      <c r="I32" s="2446"/>
      <c r="J32" s="2450">
        <f>R31/J31</f>
        <v>1</v>
      </c>
      <c r="K32" s="2451"/>
      <c r="L32" s="2454"/>
      <c r="M32" s="2441" t="s">
        <v>21</v>
      </c>
      <c r="N32" s="2442"/>
      <c r="O32" s="2442"/>
      <c r="P32" s="2442"/>
      <c r="Q32" s="2443"/>
      <c r="R32" s="878">
        <f>VLOOKUP(A33,'12 - FINANCEIRA'!_xlnm.Print_Area,8,FALSE)</f>
        <v>25</v>
      </c>
      <c r="S32" s="879" t="str">
        <f>L31</f>
        <v>m</v>
      </c>
      <c r="T32" s="680"/>
      <c r="U32" s="663"/>
      <c r="V32" s="870">
        <f t="shared" si="1"/>
        <v>0</v>
      </c>
      <c r="AB32" s="15"/>
    </row>
    <row r="33" spans="1:36" s="8" customFormat="1" ht="15.75" hidden="1">
      <c r="A33" s="510" t="s">
        <v>377</v>
      </c>
      <c r="B33" s="877"/>
      <c r="C33" s="113"/>
      <c r="D33" s="2447"/>
      <c r="E33" s="2448"/>
      <c r="F33" s="2448"/>
      <c r="G33" s="2448"/>
      <c r="H33" s="2448"/>
      <c r="I33" s="2449"/>
      <c r="J33" s="2452"/>
      <c r="K33" s="2453"/>
      <c r="L33" s="2455"/>
      <c r="M33" s="2456" t="s">
        <v>22</v>
      </c>
      <c r="N33" s="2457"/>
      <c r="O33" s="2457"/>
      <c r="P33" s="2457"/>
      <c r="Q33" s="2458"/>
      <c r="R33" s="521">
        <f>R31-R32</f>
        <v>0</v>
      </c>
      <c r="S33" s="522" t="str">
        <f>L31</f>
        <v>m</v>
      </c>
      <c r="T33" s="680"/>
      <c r="U33" s="663"/>
      <c r="V33" s="870">
        <f>R33</f>
        <v>0</v>
      </c>
      <c r="AB33" s="15"/>
    </row>
    <row r="34" spans="1:36" s="8" customFormat="1" ht="15.75" hidden="1">
      <c r="A34" s="516"/>
      <c r="B34" s="523"/>
      <c r="C34" s="524"/>
      <c r="D34" s="526"/>
      <c r="E34" s="526"/>
      <c r="F34" s="526"/>
      <c r="G34" s="525"/>
      <c r="H34" s="525"/>
      <c r="I34" s="525"/>
      <c r="J34" s="527"/>
      <c r="K34" s="528"/>
      <c r="L34" s="529"/>
      <c r="M34" s="530"/>
      <c r="N34" s="530"/>
      <c r="O34" s="530"/>
      <c r="P34" s="530"/>
      <c r="Q34" s="530"/>
      <c r="R34" s="531"/>
      <c r="S34" s="532"/>
      <c r="T34" s="533"/>
      <c r="U34" s="534"/>
      <c r="V34" s="871">
        <f>SUM(V25:V33)</f>
        <v>0</v>
      </c>
      <c r="AB34" s="15"/>
    </row>
    <row r="35" spans="1:36" s="497" customFormat="1" ht="15.75" hidden="1">
      <c r="A35" s="495"/>
      <c r="B35" s="2423" t="str">
        <f>VLOOKUP(A43,'12 - FINANCEIRA'!_xlnm.Print_Area,1,FALSE)</f>
        <v>1.1.3</v>
      </c>
      <c r="C35" s="2421" t="str">
        <f>VLOOKUP(A43,'12 - FINANCEIRA'!_xlnm.Print_Area,3,FALSE)</f>
        <v>Rede de luz, incl. padrão entrada de energia trifás., cabo de ligação até barracões, quadro de distrib., disj. e chave de força (quando necessário), cons. 20m entre padrão entrada e QDG, conf. projeto (1 utilização)</v>
      </c>
      <c r="D35" s="2479" t="s">
        <v>97</v>
      </c>
      <c r="E35" s="2480"/>
      <c r="F35" s="2480"/>
      <c r="G35" s="2480"/>
      <c r="H35" s="2480"/>
      <c r="I35" s="2481"/>
      <c r="J35" s="2416" t="s">
        <v>98</v>
      </c>
      <c r="K35" s="2416" t="s">
        <v>102</v>
      </c>
      <c r="L35" s="2416" t="s">
        <v>103</v>
      </c>
      <c r="M35" s="2416" t="s">
        <v>228</v>
      </c>
      <c r="N35" s="2416" t="s">
        <v>229</v>
      </c>
      <c r="O35" s="2416" t="s">
        <v>107</v>
      </c>
      <c r="P35" s="496" t="s">
        <v>153</v>
      </c>
      <c r="Q35" s="2416" t="s">
        <v>16</v>
      </c>
      <c r="R35" s="2425" t="s">
        <v>2</v>
      </c>
      <c r="S35" s="2416" t="s">
        <v>99</v>
      </c>
      <c r="T35" s="2416" t="s">
        <v>17</v>
      </c>
      <c r="U35" s="2428" t="s">
        <v>362</v>
      </c>
      <c r="V35" s="870">
        <f t="shared" ref="V35:V42" si="2">V36</f>
        <v>0</v>
      </c>
      <c r="W35" s="26"/>
      <c r="X35" s="26"/>
      <c r="Y35" s="26"/>
      <c r="Z35" s="27"/>
      <c r="AA35" s="9"/>
      <c r="AB35" s="9"/>
      <c r="AC35" s="9"/>
      <c r="AD35" s="9"/>
      <c r="AE35" s="9"/>
      <c r="AF35" s="9"/>
      <c r="AG35" s="9"/>
      <c r="AH35" s="9"/>
      <c r="AI35" s="9"/>
      <c r="AJ35" s="9"/>
    </row>
    <row r="36" spans="1:36" s="497" customFormat="1" ht="15.75" hidden="1">
      <c r="A36" s="495"/>
      <c r="B36" s="2471" t="e">
        <f>LEFT(#REF!,5)</f>
        <v>#REF!</v>
      </c>
      <c r="C36" s="2472" t="e">
        <f>VLOOKUP(LEFT(#REF!,5),'12 - FINANCEIRA'!_xlnm.Print_Area,2,FALSE)</f>
        <v>#REF!</v>
      </c>
      <c r="D36" s="2430" t="s">
        <v>14</v>
      </c>
      <c r="E36" s="2431"/>
      <c r="F36" s="2432"/>
      <c r="G36" s="2433" t="s">
        <v>15</v>
      </c>
      <c r="H36" s="2434"/>
      <c r="I36" s="2435"/>
      <c r="J36" s="2427"/>
      <c r="K36" s="2427"/>
      <c r="L36" s="2427"/>
      <c r="M36" s="2427"/>
      <c r="N36" s="2427"/>
      <c r="O36" s="2427"/>
      <c r="P36" s="498" t="s">
        <v>104</v>
      </c>
      <c r="Q36" s="2427"/>
      <c r="R36" s="2426"/>
      <c r="S36" s="2427"/>
      <c r="T36" s="2427"/>
      <c r="U36" s="2429"/>
      <c r="V36" s="870">
        <f t="shared" si="2"/>
        <v>0</v>
      </c>
      <c r="W36" s="26"/>
      <c r="X36" s="26"/>
      <c r="Y36" s="26"/>
      <c r="Z36" s="27"/>
      <c r="AA36" s="9"/>
      <c r="AB36" s="9"/>
      <c r="AC36" s="9"/>
      <c r="AD36" s="9"/>
      <c r="AE36" s="9"/>
      <c r="AF36" s="9"/>
      <c r="AG36" s="9"/>
      <c r="AH36" s="9"/>
      <c r="AI36" s="9"/>
      <c r="AJ36" s="9"/>
    </row>
    <row r="37" spans="1:36" s="9" customFormat="1" ht="15" hidden="1">
      <c r="A37" s="944"/>
      <c r="B37" s="922"/>
      <c r="C37" s="1280" t="s">
        <v>698</v>
      </c>
      <c r="D37" s="82"/>
      <c r="E37" s="44"/>
      <c r="F37" s="83"/>
      <c r="G37" s="43"/>
      <c r="H37" s="44"/>
      <c r="I37" s="45"/>
      <c r="J37" s="46"/>
      <c r="K37" s="47">
        <v>20</v>
      </c>
      <c r="L37" s="48"/>
      <c r="M37" s="49"/>
      <c r="N37" s="211"/>
      <c r="O37" s="50"/>
      <c r="P37" s="48"/>
      <c r="Q37" s="209"/>
      <c r="R37" s="535">
        <v>20</v>
      </c>
      <c r="S37" s="876" t="s">
        <v>8</v>
      </c>
      <c r="T37" s="90" t="s">
        <v>368</v>
      </c>
      <c r="U37" s="39" t="s">
        <v>705</v>
      </c>
      <c r="V37" s="870">
        <f t="shared" si="2"/>
        <v>0</v>
      </c>
      <c r="W37" s="26"/>
      <c r="X37" s="26"/>
      <c r="Y37" s="26"/>
      <c r="Z37" s="27"/>
      <c r="AA37" s="41"/>
      <c r="AB37" s="42"/>
    </row>
    <row r="38" spans="1:36" s="507" customFormat="1" ht="15" hidden="1">
      <c r="A38" s="499"/>
      <c r="B38" s="500"/>
      <c r="C38" s="79"/>
      <c r="D38" s="156"/>
      <c r="E38" s="86"/>
      <c r="F38" s="155"/>
      <c r="G38" s="85"/>
      <c r="H38" s="86"/>
      <c r="I38" s="87"/>
      <c r="J38" s="138"/>
      <c r="K38" s="137"/>
      <c r="L38" s="134"/>
      <c r="M38" s="136"/>
      <c r="N38" s="501"/>
      <c r="O38" s="135"/>
      <c r="P38" s="134"/>
      <c r="Q38" s="225"/>
      <c r="R38" s="508"/>
      <c r="S38" s="509"/>
      <c r="T38" s="262"/>
      <c r="U38" s="212"/>
      <c r="V38" s="870">
        <f t="shared" si="2"/>
        <v>0</v>
      </c>
      <c r="W38" s="503"/>
      <c r="X38" s="503"/>
      <c r="Y38" s="503"/>
      <c r="Z38" s="504"/>
      <c r="AA38" s="505"/>
      <c r="AB38" s="506"/>
    </row>
    <row r="39" spans="1:36" s="515" customFormat="1" ht="15" hidden="1">
      <c r="A39" s="510"/>
      <c r="B39" s="500"/>
      <c r="C39" s="79"/>
      <c r="D39" s="156"/>
      <c r="E39" s="86"/>
      <c r="F39" s="155"/>
      <c r="G39" s="85"/>
      <c r="H39" s="86"/>
      <c r="I39" s="87"/>
      <c r="J39" s="138"/>
      <c r="K39" s="137"/>
      <c r="L39" s="134"/>
      <c r="M39" s="136"/>
      <c r="N39" s="135"/>
      <c r="O39" s="135"/>
      <c r="P39" s="134"/>
      <c r="Q39" s="133"/>
      <c r="R39" s="511"/>
      <c r="S39" s="512"/>
      <c r="T39" s="262"/>
      <c r="U39" s="212"/>
      <c r="V39" s="870">
        <f t="shared" si="2"/>
        <v>0</v>
      </c>
      <c r="W39" s="513"/>
      <c r="X39" s="513"/>
      <c r="Y39" s="513"/>
      <c r="Z39" s="514"/>
    </row>
    <row r="40" spans="1:36" s="8" customFormat="1" ht="15" hidden="1">
      <c r="A40" s="516"/>
      <c r="B40" s="59"/>
      <c r="C40" s="60"/>
      <c r="D40" s="82"/>
      <c r="E40" s="44"/>
      <c r="F40" s="83"/>
      <c r="G40" s="43"/>
      <c r="H40" s="44"/>
      <c r="I40" s="45"/>
      <c r="J40" s="46"/>
      <c r="K40" s="47"/>
      <c r="L40" s="48"/>
      <c r="M40" s="49"/>
      <c r="N40" s="50"/>
      <c r="O40" s="50"/>
      <c r="P40" s="48"/>
      <c r="Q40" s="53"/>
      <c r="R40" s="517"/>
      <c r="S40" s="54"/>
      <c r="T40" s="518"/>
      <c r="U40" s="71"/>
      <c r="V40" s="870">
        <f t="shared" si="2"/>
        <v>0</v>
      </c>
      <c r="AB40" s="15"/>
    </row>
    <row r="41" spans="1:36" s="8" customFormat="1" ht="15.75" hidden="1">
      <c r="A41" s="516"/>
      <c r="B41" s="877"/>
      <c r="C41" s="113"/>
      <c r="D41" s="2436" t="s">
        <v>18</v>
      </c>
      <c r="E41" s="2437"/>
      <c r="F41" s="2437"/>
      <c r="G41" s="2437"/>
      <c r="H41" s="2437"/>
      <c r="I41" s="2438"/>
      <c r="J41" s="2439">
        <f>VLOOKUP(A43,'12 - FINANCEIRA'!_xlnm.Print_Area,6,FALSE)</f>
        <v>20</v>
      </c>
      <c r="K41" s="2440"/>
      <c r="L41" s="519" t="str">
        <f>VLOOKUP(A43,'12 - FINANCEIRA'!_xlnm.Print_Area,4,FALSE)</f>
        <v>m</v>
      </c>
      <c r="M41" s="2441" t="s">
        <v>19</v>
      </c>
      <c r="N41" s="2442"/>
      <c r="O41" s="2442"/>
      <c r="P41" s="2442"/>
      <c r="Q41" s="2443"/>
      <c r="R41" s="878">
        <f>SUM(R37:R40)</f>
        <v>20</v>
      </c>
      <c r="S41" s="520" t="str">
        <f>L41</f>
        <v>m</v>
      </c>
      <c r="T41" s="680"/>
      <c r="U41" s="663"/>
      <c r="V41" s="870">
        <f t="shared" si="2"/>
        <v>0</v>
      </c>
      <c r="AB41" s="15"/>
    </row>
    <row r="42" spans="1:36" s="8" customFormat="1" ht="15.75" hidden="1">
      <c r="A42" s="516"/>
      <c r="B42" s="877"/>
      <c r="C42" s="681"/>
      <c r="D42" s="2444" t="s">
        <v>20</v>
      </c>
      <c r="E42" s="2445"/>
      <c r="F42" s="2445"/>
      <c r="G42" s="2445"/>
      <c r="H42" s="2445"/>
      <c r="I42" s="2446"/>
      <c r="J42" s="2450">
        <f>R41/J41</f>
        <v>1</v>
      </c>
      <c r="K42" s="2451"/>
      <c r="L42" s="2454"/>
      <c r="M42" s="2441" t="s">
        <v>21</v>
      </c>
      <c r="N42" s="2442"/>
      <c r="O42" s="2442"/>
      <c r="P42" s="2442"/>
      <c r="Q42" s="2443"/>
      <c r="R42" s="878">
        <f>VLOOKUP(A43,'12 - FINANCEIRA'!_xlnm.Print_Area,8,FALSE)</f>
        <v>20</v>
      </c>
      <c r="S42" s="879" t="str">
        <f>L41</f>
        <v>m</v>
      </c>
      <c r="T42" s="680"/>
      <c r="U42" s="663"/>
      <c r="V42" s="870">
        <f t="shared" si="2"/>
        <v>0</v>
      </c>
      <c r="AB42" s="15"/>
    </row>
    <row r="43" spans="1:36" s="8" customFormat="1" ht="15.75" hidden="1">
      <c r="A43" s="510" t="s">
        <v>414</v>
      </c>
      <c r="B43" s="877"/>
      <c r="C43" s="113"/>
      <c r="D43" s="2447"/>
      <c r="E43" s="2448"/>
      <c r="F43" s="2448"/>
      <c r="G43" s="2448"/>
      <c r="H43" s="2448"/>
      <c r="I43" s="2449"/>
      <c r="J43" s="2452"/>
      <c r="K43" s="2453"/>
      <c r="L43" s="2455"/>
      <c r="M43" s="2456" t="s">
        <v>22</v>
      </c>
      <c r="N43" s="2457"/>
      <c r="O43" s="2457"/>
      <c r="P43" s="2457"/>
      <c r="Q43" s="2458"/>
      <c r="R43" s="521">
        <f>R41-R42</f>
        <v>0</v>
      </c>
      <c r="S43" s="522" t="str">
        <f>L41</f>
        <v>m</v>
      </c>
      <c r="T43" s="680"/>
      <c r="U43" s="663"/>
      <c r="V43" s="870">
        <f>R43</f>
        <v>0</v>
      </c>
      <c r="AB43" s="15"/>
    </row>
    <row r="44" spans="1:36" s="8" customFormat="1" ht="15.75" hidden="1">
      <c r="A44" s="516"/>
      <c r="B44" s="523"/>
      <c r="C44" s="524"/>
      <c r="D44" s="526"/>
      <c r="E44" s="526"/>
      <c r="F44" s="526"/>
      <c r="G44" s="525"/>
      <c r="H44" s="525"/>
      <c r="I44" s="525"/>
      <c r="J44" s="527"/>
      <c r="K44" s="528"/>
      <c r="L44" s="529"/>
      <c r="M44" s="530"/>
      <c r="N44" s="530"/>
      <c r="O44" s="530"/>
      <c r="P44" s="530"/>
      <c r="Q44" s="530"/>
      <c r="R44" s="531"/>
      <c r="S44" s="532"/>
      <c r="T44" s="533"/>
      <c r="U44" s="534"/>
      <c r="V44" s="871">
        <f>SUM(V35:V43)</f>
        <v>0</v>
      </c>
      <c r="AB44" s="15"/>
    </row>
    <row r="45" spans="1:36" s="497" customFormat="1" ht="15.75" hidden="1">
      <c r="A45" s="495"/>
      <c r="B45" s="2423" t="str">
        <f>VLOOKUP(A53,'12 - FINANCEIRA'!_xlnm.Print_Area,1,FALSE)</f>
        <v>1.1.4</v>
      </c>
      <c r="C45" s="2421" t="str">
        <f>VLOOKUP(A53,'12 - FINANCEIRA'!_xlnm.Print_Area,3,FALSE)</f>
        <v>Reservatório de poliestileno de 1000 L, incl. suporte em madeira de 7x12cm e 8x7cm, elevado de 4m, conf. projeto (1 utilização)</v>
      </c>
      <c r="D45" s="2479" t="s">
        <v>97</v>
      </c>
      <c r="E45" s="2480"/>
      <c r="F45" s="2480"/>
      <c r="G45" s="2480"/>
      <c r="H45" s="2480"/>
      <c r="I45" s="2481"/>
      <c r="J45" s="2416" t="s">
        <v>98</v>
      </c>
      <c r="K45" s="2416" t="s">
        <v>102</v>
      </c>
      <c r="L45" s="2416" t="s">
        <v>103</v>
      </c>
      <c r="M45" s="2416" t="s">
        <v>228</v>
      </c>
      <c r="N45" s="2416" t="s">
        <v>229</v>
      </c>
      <c r="O45" s="2416" t="s">
        <v>107</v>
      </c>
      <c r="P45" s="496" t="s">
        <v>153</v>
      </c>
      <c r="Q45" s="2416" t="s">
        <v>2</v>
      </c>
      <c r="R45" s="2425" t="s">
        <v>2</v>
      </c>
      <c r="S45" s="2416" t="s">
        <v>99</v>
      </c>
      <c r="T45" s="2416" t="s">
        <v>17</v>
      </c>
      <c r="U45" s="2428" t="s">
        <v>362</v>
      </c>
      <c r="V45" s="870">
        <f t="shared" ref="V45:V52" si="3">V46</f>
        <v>0</v>
      </c>
      <c r="W45" s="26"/>
      <c r="X45" s="26"/>
      <c r="Y45" s="26"/>
      <c r="Z45" s="27"/>
      <c r="AA45" s="9"/>
      <c r="AB45" s="9"/>
      <c r="AC45" s="9"/>
      <c r="AD45" s="9"/>
      <c r="AE45" s="9"/>
      <c r="AF45" s="9"/>
      <c r="AG45" s="9"/>
      <c r="AH45" s="9"/>
      <c r="AI45" s="9"/>
      <c r="AJ45" s="9"/>
    </row>
    <row r="46" spans="1:36" s="497" customFormat="1" ht="15.75" hidden="1">
      <c r="A46" s="495"/>
      <c r="B46" s="2471" t="e">
        <f>LEFT(#REF!,5)</f>
        <v>#REF!</v>
      </c>
      <c r="C46" s="2472" t="e">
        <f>VLOOKUP(LEFT(#REF!,5),'12 - FINANCEIRA'!_xlnm.Print_Area,2,FALSE)</f>
        <v>#REF!</v>
      </c>
      <c r="D46" s="2430" t="s">
        <v>14</v>
      </c>
      <c r="E46" s="2431"/>
      <c r="F46" s="2432"/>
      <c r="G46" s="2433" t="s">
        <v>15</v>
      </c>
      <c r="H46" s="2434"/>
      <c r="I46" s="2435"/>
      <c r="J46" s="2427"/>
      <c r="K46" s="2427"/>
      <c r="L46" s="2427"/>
      <c r="M46" s="2427"/>
      <c r="N46" s="2427"/>
      <c r="O46" s="2427"/>
      <c r="P46" s="498" t="s">
        <v>104</v>
      </c>
      <c r="Q46" s="2427"/>
      <c r="R46" s="2426"/>
      <c r="S46" s="2427"/>
      <c r="T46" s="2427"/>
      <c r="U46" s="2429"/>
      <c r="V46" s="870">
        <f t="shared" si="3"/>
        <v>0</v>
      </c>
      <c r="W46" s="26"/>
      <c r="X46" s="26"/>
      <c r="Y46" s="26"/>
      <c r="Z46" s="27"/>
      <c r="AA46" s="9"/>
      <c r="AB46" s="9"/>
      <c r="AC46" s="9"/>
      <c r="AD46" s="9"/>
      <c r="AE46" s="9"/>
      <c r="AF46" s="9"/>
      <c r="AG46" s="9"/>
      <c r="AH46" s="9"/>
      <c r="AI46" s="9"/>
      <c r="AJ46" s="9"/>
    </row>
    <row r="47" spans="1:36" s="9" customFormat="1" ht="15" hidden="1">
      <c r="A47" s="944"/>
      <c r="B47" s="922"/>
      <c r="C47" s="58" t="s">
        <v>698</v>
      </c>
      <c r="D47" s="82"/>
      <c r="E47" s="44"/>
      <c r="F47" s="83"/>
      <c r="G47" s="43"/>
      <c r="H47" s="44"/>
      <c r="I47" s="45"/>
      <c r="J47" s="46"/>
      <c r="K47" s="47"/>
      <c r="L47" s="48"/>
      <c r="M47" s="49"/>
      <c r="N47" s="211"/>
      <c r="O47" s="50"/>
      <c r="P47" s="48"/>
      <c r="Q47" s="209"/>
      <c r="R47" s="535">
        <v>1</v>
      </c>
      <c r="S47" s="876" t="s">
        <v>707</v>
      </c>
      <c r="T47" s="90" t="s">
        <v>368</v>
      </c>
      <c r="U47" s="39" t="s">
        <v>706</v>
      </c>
      <c r="V47" s="870">
        <f t="shared" si="3"/>
        <v>0</v>
      </c>
      <c r="W47" s="26"/>
      <c r="X47" s="26"/>
      <c r="Y47" s="26"/>
      <c r="Z47" s="27"/>
      <c r="AA47" s="41"/>
      <c r="AB47" s="42"/>
    </row>
    <row r="48" spans="1:36" s="507" customFormat="1" ht="15" hidden="1">
      <c r="A48" s="499"/>
      <c r="B48" s="500"/>
      <c r="C48" s="79"/>
      <c r="D48" s="156"/>
      <c r="E48" s="86"/>
      <c r="F48" s="155"/>
      <c r="G48" s="85"/>
      <c r="H48" s="86"/>
      <c r="I48" s="87"/>
      <c r="J48" s="138"/>
      <c r="K48" s="137"/>
      <c r="L48" s="134"/>
      <c r="M48" s="136"/>
      <c r="N48" s="501"/>
      <c r="O48" s="135"/>
      <c r="P48" s="134"/>
      <c r="Q48" s="225"/>
      <c r="R48" s="508"/>
      <c r="S48" s="509"/>
      <c r="T48" s="262"/>
      <c r="U48" s="212"/>
      <c r="V48" s="870">
        <f t="shared" si="3"/>
        <v>0</v>
      </c>
      <c r="W48" s="503"/>
      <c r="X48" s="503"/>
      <c r="Y48" s="503"/>
      <c r="Z48" s="504"/>
      <c r="AA48" s="505"/>
      <c r="AB48" s="506"/>
    </row>
    <row r="49" spans="1:36" s="515" customFormat="1" ht="15" hidden="1">
      <c r="A49" s="510"/>
      <c r="B49" s="500"/>
      <c r="C49" s="79"/>
      <c r="D49" s="156"/>
      <c r="E49" s="86"/>
      <c r="F49" s="155"/>
      <c r="G49" s="85"/>
      <c r="H49" s="86"/>
      <c r="I49" s="87"/>
      <c r="J49" s="138"/>
      <c r="K49" s="137"/>
      <c r="L49" s="134"/>
      <c r="M49" s="136"/>
      <c r="N49" s="135"/>
      <c r="O49" s="135"/>
      <c r="P49" s="134"/>
      <c r="Q49" s="133"/>
      <c r="R49" s="511"/>
      <c r="S49" s="512"/>
      <c r="T49" s="262"/>
      <c r="U49" s="212"/>
      <c r="V49" s="870">
        <f t="shared" si="3"/>
        <v>0</v>
      </c>
      <c r="W49" s="513"/>
      <c r="X49" s="513"/>
      <c r="Y49" s="513"/>
      <c r="Z49" s="514"/>
    </row>
    <row r="50" spans="1:36" s="8" customFormat="1" ht="15" hidden="1">
      <c r="A50" s="516"/>
      <c r="B50" s="59"/>
      <c r="C50" s="60"/>
      <c r="D50" s="82"/>
      <c r="E50" s="44"/>
      <c r="F50" s="83"/>
      <c r="G50" s="43"/>
      <c r="H50" s="44"/>
      <c r="I50" s="45"/>
      <c r="J50" s="46"/>
      <c r="K50" s="47"/>
      <c r="L50" s="48"/>
      <c r="M50" s="49"/>
      <c r="N50" s="50"/>
      <c r="O50" s="50"/>
      <c r="P50" s="48"/>
      <c r="Q50" s="53"/>
      <c r="R50" s="517"/>
      <c r="S50" s="54"/>
      <c r="T50" s="518"/>
      <c r="U50" s="71"/>
      <c r="V50" s="870">
        <f t="shared" si="3"/>
        <v>0</v>
      </c>
      <c r="AB50" s="15"/>
    </row>
    <row r="51" spans="1:36" s="8" customFormat="1" ht="15.75" hidden="1">
      <c r="A51" s="516"/>
      <c r="B51" s="877"/>
      <c r="C51" s="113"/>
      <c r="D51" s="2436" t="s">
        <v>18</v>
      </c>
      <c r="E51" s="2437"/>
      <c r="F51" s="2437"/>
      <c r="G51" s="2437"/>
      <c r="H51" s="2437"/>
      <c r="I51" s="2438"/>
      <c r="J51" s="2439">
        <f>VLOOKUP(A53,'12 - FINANCEIRA'!_xlnm.Print_Area,6,FALSE)</f>
        <v>1</v>
      </c>
      <c r="K51" s="2440"/>
      <c r="L51" s="519" t="str">
        <f>VLOOKUP(A53,'12 - FINANCEIRA'!_xlnm.Print_Area,4,FALSE)</f>
        <v>und</v>
      </c>
      <c r="M51" s="2441" t="s">
        <v>19</v>
      </c>
      <c r="N51" s="2442"/>
      <c r="O51" s="2442"/>
      <c r="P51" s="2442"/>
      <c r="Q51" s="2443"/>
      <c r="R51" s="878">
        <f>SUM(R47:R50)</f>
        <v>1</v>
      </c>
      <c r="S51" s="520" t="str">
        <f>L51</f>
        <v>und</v>
      </c>
      <c r="T51" s="680"/>
      <c r="U51" s="663"/>
      <c r="V51" s="870">
        <f t="shared" si="3"/>
        <v>0</v>
      </c>
      <c r="AB51" s="15"/>
    </row>
    <row r="52" spans="1:36" s="8" customFormat="1" ht="15.75" hidden="1">
      <c r="A52" s="516"/>
      <c r="B52" s="877"/>
      <c r="C52" s="681"/>
      <c r="D52" s="2444" t="s">
        <v>20</v>
      </c>
      <c r="E52" s="2445"/>
      <c r="F52" s="2445"/>
      <c r="G52" s="2445"/>
      <c r="H52" s="2445"/>
      <c r="I52" s="2446"/>
      <c r="J52" s="2450">
        <f>R51/J51</f>
        <v>1</v>
      </c>
      <c r="K52" s="2451"/>
      <c r="L52" s="2454"/>
      <c r="M52" s="2441" t="s">
        <v>21</v>
      </c>
      <c r="N52" s="2442"/>
      <c r="O52" s="2442"/>
      <c r="P52" s="2442"/>
      <c r="Q52" s="2443"/>
      <c r="R52" s="878">
        <f>VLOOKUP(A53,'12 - FINANCEIRA'!_xlnm.Print_Area,8,FALSE)</f>
        <v>1</v>
      </c>
      <c r="S52" s="879" t="str">
        <f>L51</f>
        <v>und</v>
      </c>
      <c r="T52" s="680"/>
      <c r="U52" s="663"/>
      <c r="V52" s="870">
        <f t="shared" si="3"/>
        <v>0</v>
      </c>
      <c r="AB52" s="15"/>
    </row>
    <row r="53" spans="1:36" s="8" customFormat="1" ht="15.75" hidden="1">
      <c r="A53" s="510" t="s">
        <v>415</v>
      </c>
      <c r="B53" s="877"/>
      <c r="C53" s="113"/>
      <c r="D53" s="2447"/>
      <c r="E53" s="2448"/>
      <c r="F53" s="2448"/>
      <c r="G53" s="2448"/>
      <c r="H53" s="2448"/>
      <c r="I53" s="2449"/>
      <c r="J53" s="2452"/>
      <c r="K53" s="2453"/>
      <c r="L53" s="2455"/>
      <c r="M53" s="2456" t="s">
        <v>22</v>
      </c>
      <c r="N53" s="2457"/>
      <c r="O53" s="2457"/>
      <c r="P53" s="2457"/>
      <c r="Q53" s="2458"/>
      <c r="R53" s="521">
        <f>R51-R52</f>
        <v>0</v>
      </c>
      <c r="S53" s="522" t="str">
        <f>L51</f>
        <v>und</v>
      </c>
      <c r="T53" s="680"/>
      <c r="U53" s="663"/>
      <c r="V53" s="870">
        <f>R53</f>
        <v>0</v>
      </c>
      <c r="AB53" s="15"/>
    </row>
    <row r="54" spans="1:36" s="8" customFormat="1" ht="15.75" hidden="1">
      <c r="A54" s="516"/>
      <c r="B54" s="651"/>
      <c r="C54" s="652"/>
      <c r="D54" s="654"/>
      <c r="E54" s="654"/>
      <c r="F54" s="654"/>
      <c r="G54" s="653"/>
      <c r="H54" s="653"/>
      <c r="I54" s="653"/>
      <c r="J54" s="655"/>
      <c r="K54" s="656"/>
      <c r="L54" s="657"/>
      <c r="M54" s="658"/>
      <c r="N54" s="658"/>
      <c r="O54" s="658"/>
      <c r="P54" s="658"/>
      <c r="Q54" s="658"/>
      <c r="R54" s="659"/>
      <c r="S54" s="660"/>
      <c r="T54" s="661"/>
      <c r="U54" s="662"/>
      <c r="V54" s="871">
        <f>SUM(V45:V53)</f>
        <v>0</v>
      </c>
      <c r="AB54" s="15"/>
    </row>
    <row r="55" spans="1:36" s="497" customFormat="1" ht="15.75" hidden="1">
      <c r="A55" s="495"/>
      <c r="B55" s="2423" t="str">
        <f>VLOOKUP(A63,'12 - FINANCEIRA'!_xlnm.Print_Area,1,FALSE)</f>
        <v>1.1.5</v>
      </c>
      <c r="C55" s="2421" t="str">
        <f>VLOOKUP(A63,'12 - FINANCEIRA'!_xlnm.Print_Area,3,FALSE)</f>
        <v>Tapume Telha Metálica Ondulada 0,50mm Branca h=2,20m, incl. montagem estr. mad. 8"x8", c/adesivo "SEDURB" 60x60cm a cada 10m, incl. faixas pint. esmalte sint. cores azul c/ h=30cm e rosa c/ h=10cm (Reaproveitamento 2x)</v>
      </c>
      <c r="D55" s="2479" t="s">
        <v>97</v>
      </c>
      <c r="E55" s="2480"/>
      <c r="F55" s="2480"/>
      <c r="G55" s="2480"/>
      <c r="H55" s="2480"/>
      <c r="I55" s="2481"/>
      <c r="J55" s="2416" t="s">
        <v>98</v>
      </c>
      <c r="K55" s="2416" t="s">
        <v>102</v>
      </c>
      <c r="L55" s="2416" t="s">
        <v>524</v>
      </c>
      <c r="M55" s="2416" t="s">
        <v>228</v>
      </c>
      <c r="N55" s="2416" t="s">
        <v>229</v>
      </c>
      <c r="O55" s="2416" t="s">
        <v>107</v>
      </c>
      <c r="P55" s="496" t="s">
        <v>153</v>
      </c>
      <c r="Q55" s="2416" t="s">
        <v>16</v>
      </c>
      <c r="R55" s="2425" t="s">
        <v>2</v>
      </c>
      <c r="S55" s="2416" t="s">
        <v>99</v>
      </c>
      <c r="T55" s="2416" t="s">
        <v>17</v>
      </c>
      <c r="U55" s="2428" t="s">
        <v>362</v>
      </c>
      <c r="V55" s="870">
        <f t="shared" ref="V55:V62" si="4">V56</f>
        <v>0</v>
      </c>
      <c r="W55" s="26"/>
      <c r="X55" s="26"/>
      <c r="Y55" s="26"/>
      <c r="Z55" s="27"/>
      <c r="AA55" s="9"/>
      <c r="AB55" s="9"/>
      <c r="AC55" s="9"/>
      <c r="AD55" s="9"/>
      <c r="AE55" s="9"/>
      <c r="AF55" s="9"/>
      <c r="AG55" s="9"/>
      <c r="AH55" s="9"/>
      <c r="AI55" s="9"/>
      <c r="AJ55" s="9"/>
    </row>
    <row r="56" spans="1:36" s="497" customFormat="1" ht="15.75" hidden="1">
      <c r="A56" s="495"/>
      <c r="B56" s="2471" t="e">
        <f>LEFT(#REF!,5)</f>
        <v>#REF!</v>
      </c>
      <c r="C56" s="2472" t="e">
        <f>VLOOKUP(LEFT(#REF!,5),'12 - FINANCEIRA'!_xlnm.Print_Area,2,FALSE)</f>
        <v>#REF!</v>
      </c>
      <c r="D56" s="2430" t="s">
        <v>14</v>
      </c>
      <c r="E56" s="2431"/>
      <c r="F56" s="2432"/>
      <c r="G56" s="2433" t="s">
        <v>15</v>
      </c>
      <c r="H56" s="2434"/>
      <c r="I56" s="2435"/>
      <c r="J56" s="2427"/>
      <c r="K56" s="2427"/>
      <c r="L56" s="2427"/>
      <c r="M56" s="2427"/>
      <c r="N56" s="2427"/>
      <c r="O56" s="2427"/>
      <c r="P56" s="498" t="s">
        <v>104</v>
      </c>
      <c r="Q56" s="2427"/>
      <c r="R56" s="2426"/>
      <c r="S56" s="2427"/>
      <c r="T56" s="2427"/>
      <c r="U56" s="2429"/>
      <c r="V56" s="870">
        <f t="shared" si="4"/>
        <v>0</v>
      </c>
      <c r="W56" s="26"/>
      <c r="X56" s="26"/>
      <c r="Y56" s="26"/>
      <c r="Z56" s="27"/>
      <c r="AA56" s="9"/>
      <c r="AB56" s="9"/>
      <c r="AC56" s="9"/>
      <c r="AD56" s="9"/>
      <c r="AE56" s="9"/>
      <c r="AF56" s="9"/>
      <c r="AG56" s="9"/>
      <c r="AH56" s="9"/>
      <c r="AI56" s="9"/>
      <c r="AJ56" s="9"/>
    </row>
    <row r="57" spans="1:36" s="9" customFormat="1" ht="15" hidden="1">
      <c r="A57" s="944"/>
      <c r="B57" s="922"/>
      <c r="C57" s="176" t="s">
        <v>698</v>
      </c>
      <c r="D57" s="175"/>
      <c r="E57" s="174"/>
      <c r="F57" s="173"/>
      <c r="G57" s="1281"/>
      <c r="H57" s="174"/>
      <c r="I57" s="1282"/>
      <c r="J57" s="172"/>
      <c r="K57" s="1283">
        <v>138.84</v>
      </c>
      <c r="L57" s="171"/>
      <c r="M57" s="770"/>
      <c r="N57" s="771"/>
      <c r="O57" s="182"/>
      <c r="P57" s="171"/>
      <c r="Q57" s="216"/>
      <c r="R57" s="88">
        <f>K57</f>
        <v>138.84</v>
      </c>
      <c r="S57" s="216" t="s">
        <v>8</v>
      </c>
      <c r="T57" s="772" t="s">
        <v>368</v>
      </c>
      <c r="U57" s="39" t="s">
        <v>708</v>
      </c>
      <c r="V57" s="870">
        <f t="shared" si="4"/>
        <v>0</v>
      </c>
      <c r="W57" s="26"/>
      <c r="X57" s="26"/>
      <c r="Y57" s="26"/>
      <c r="Z57" s="27"/>
      <c r="AA57" s="41"/>
      <c r="AB57" s="42"/>
    </row>
    <row r="58" spans="1:36" s="724" customFormat="1" ht="15" hidden="1">
      <c r="A58" s="717"/>
      <c r="B58" s="1025"/>
      <c r="C58" s="1136"/>
      <c r="D58" s="1137"/>
      <c r="E58" s="1138"/>
      <c r="F58" s="1139"/>
      <c r="G58" s="1140"/>
      <c r="H58" s="1138"/>
      <c r="I58" s="1141"/>
      <c r="J58" s="1142"/>
      <c r="K58" s="1143"/>
      <c r="L58" s="1144"/>
      <c r="M58" s="1145"/>
      <c r="N58" s="1146"/>
      <c r="O58" s="1147"/>
      <c r="P58" s="1144"/>
      <c r="Q58" s="1148"/>
      <c r="R58" s="1149"/>
      <c r="S58" s="1148"/>
      <c r="T58" s="1150"/>
      <c r="U58" s="1135"/>
      <c r="V58" s="870">
        <f>V59</f>
        <v>0</v>
      </c>
      <c r="W58" s="720"/>
      <c r="X58" s="720"/>
      <c r="Y58" s="720"/>
      <c r="Z58" s="721"/>
      <c r="AA58" s="722"/>
      <c r="AB58" s="723"/>
    </row>
    <row r="59" spans="1:36" s="729" customFormat="1" ht="15" hidden="1">
      <c r="A59" s="726"/>
      <c r="B59" s="1025"/>
      <c r="C59" s="1136"/>
      <c r="D59" s="1137"/>
      <c r="E59" s="1138"/>
      <c r="F59" s="1139"/>
      <c r="G59" s="1140"/>
      <c r="H59" s="1138"/>
      <c r="I59" s="1141"/>
      <c r="J59" s="1142"/>
      <c r="K59" s="1143"/>
      <c r="L59" s="1144"/>
      <c r="M59" s="1145"/>
      <c r="N59" s="1146"/>
      <c r="O59" s="1147"/>
      <c r="P59" s="1144"/>
      <c r="Q59" s="1148"/>
      <c r="R59" s="1149"/>
      <c r="S59" s="1148"/>
      <c r="T59" s="1150"/>
      <c r="U59" s="1135"/>
      <c r="V59" s="870">
        <f>V60</f>
        <v>0</v>
      </c>
      <c r="W59" s="727"/>
      <c r="X59" s="727"/>
      <c r="Y59" s="727"/>
      <c r="Z59" s="728"/>
    </row>
    <row r="60" spans="1:36" s="515" customFormat="1" ht="15" hidden="1">
      <c r="A60" s="510"/>
      <c r="B60" s="1158"/>
      <c r="C60" s="1151"/>
      <c r="D60" s="1159"/>
      <c r="E60" s="1160"/>
      <c r="F60" s="1161"/>
      <c r="G60" s="1162"/>
      <c r="H60" s="1160"/>
      <c r="I60" s="1163"/>
      <c r="J60" s="1164"/>
      <c r="K60" s="1165"/>
      <c r="L60" s="1166"/>
      <c r="M60" s="1167"/>
      <c r="N60" s="1168"/>
      <c r="O60" s="1169"/>
      <c r="P60" s="1166"/>
      <c r="Q60" s="1170"/>
      <c r="R60" s="1152"/>
      <c r="S60" s="1170"/>
      <c r="T60" s="1153"/>
      <c r="U60" s="1171"/>
      <c r="V60" s="870">
        <f>V61</f>
        <v>0</v>
      </c>
      <c r="W60" s="513"/>
      <c r="X60" s="513"/>
      <c r="Y60" s="513"/>
      <c r="Z60" s="514"/>
    </row>
    <row r="61" spans="1:36" s="8" customFormat="1" ht="15.75" hidden="1">
      <c r="A61" s="516"/>
      <c r="B61" s="877"/>
      <c r="C61" s="673"/>
      <c r="D61" s="2518" t="s">
        <v>18</v>
      </c>
      <c r="E61" s="2519"/>
      <c r="F61" s="2519"/>
      <c r="G61" s="2519"/>
      <c r="H61" s="2519"/>
      <c r="I61" s="2520"/>
      <c r="J61" s="2530">
        <f>VLOOKUP(A63,'12 - FINANCEIRA'!_xlnm.Print_Area,6,FALSE)</f>
        <v>200</v>
      </c>
      <c r="K61" s="2531"/>
      <c r="L61" s="730" t="str">
        <f>VLOOKUP(A63,'12 - FINANCEIRA'!_xlnm.Print_Area,4,FALSE)</f>
        <v>m</v>
      </c>
      <c r="M61" s="2532" t="s">
        <v>19</v>
      </c>
      <c r="N61" s="2533"/>
      <c r="O61" s="2533"/>
      <c r="P61" s="2533"/>
      <c r="Q61" s="2534"/>
      <c r="R61" s="1157">
        <f>SUM(R57:R60)</f>
        <v>138.84</v>
      </c>
      <c r="S61" s="732" t="str">
        <f>L61</f>
        <v>m</v>
      </c>
      <c r="T61" s="674"/>
      <c r="U61" s="663"/>
      <c r="V61" s="870">
        <f t="shared" si="4"/>
        <v>0</v>
      </c>
      <c r="AB61" s="15"/>
    </row>
    <row r="62" spans="1:36" s="8" customFormat="1" ht="15.75" hidden="1">
      <c r="A62" s="516"/>
      <c r="B62" s="877"/>
      <c r="C62" s="675"/>
      <c r="D62" s="2515" t="s">
        <v>20</v>
      </c>
      <c r="E62" s="2516"/>
      <c r="F62" s="2516"/>
      <c r="G62" s="2516"/>
      <c r="H62" s="2516"/>
      <c r="I62" s="2517"/>
      <c r="J62" s="2521">
        <f>R61/J61</f>
        <v>0.69420000000000004</v>
      </c>
      <c r="K62" s="2522"/>
      <c r="L62" s="2525"/>
      <c r="M62" s="2527" t="s">
        <v>21</v>
      </c>
      <c r="N62" s="2528"/>
      <c r="O62" s="2528"/>
      <c r="P62" s="2528"/>
      <c r="Q62" s="2529"/>
      <c r="R62" s="834">
        <f>VLOOKUP(A63,'12 - FINANCEIRA'!_xlnm.Print_Area,8,FALSE)</f>
        <v>138.84</v>
      </c>
      <c r="S62" s="835" t="str">
        <f>L61</f>
        <v>m</v>
      </c>
      <c r="T62" s="674"/>
      <c r="U62" s="663"/>
      <c r="V62" s="870">
        <f t="shared" si="4"/>
        <v>0</v>
      </c>
      <c r="AB62" s="15"/>
    </row>
    <row r="63" spans="1:36" s="8" customFormat="1" ht="15.75" hidden="1">
      <c r="A63" s="510" t="s">
        <v>416</v>
      </c>
      <c r="B63" s="880"/>
      <c r="C63" s="676"/>
      <c r="D63" s="2518"/>
      <c r="E63" s="2519"/>
      <c r="F63" s="2519"/>
      <c r="G63" s="2519"/>
      <c r="H63" s="2519"/>
      <c r="I63" s="2520"/>
      <c r="J63" s="2523"/>
      <c r="K63" s="2524"/>
      <c r="L63" s="2526"/>
      <c r="M63" s="2527" t="s">
        <v>22</v>
      </c>
      <c r="N63" s="2528"/>
      <c r="O63" s="2528"/>
      <c r="P63" s="2528"/>
      <c r="Q63" s="2529"/>
      <c r="R63" s="834">
        <f>R61-R62</f>
        <v>0</v>
      </c>
      <c r="S63" s="835" t="str">
        <f>L61</f>
        <v>m</v>
      </c>
      <c r="T63" s="677"/>
      <c r="U63" s="881"/>
      <c r="V63" s="870">
        <f>R63</f>
        <v>0</v>
      </c>
      <c r="AB63" s="15"/>
    </row>
    <row r="64" spans="1:36" s="8" customFormat="1" ht="15.75" hidden="1">
      <c r="A64" s="516"/>
      <c r="B64" s="523"/>
      <c r="C64" s="621"/>
      <c r="D64" s="623"/>
      <c r="E64" s="623"/>
      <c r="F64" s="623"/>
      <c r="G64" s="622"/>
      <c r="H64" s="622"/>
      <c r="I64" s="622"/>
      <c r="J64" s="624"/>
      <c r="K64" s="625"/>
      <c r="L64" s="626"/>
      <c r="M64" s="627"/>
      <c r="N64" s="627"/>
      <c r="O64" s="627"/>
      <c r="P64" s="627"/>
      <c r="Q64" s="627"/>
      <c r="R64" s="628"/>
      <c r="S64" s="629"/>
      <c r="T64" s="630"/>
      <c r="U64" s="534"/>
      <c r="V64" s="871">
        <f>SUM(V55:V63)</f>
        <v>0</v>
      </c>
      <c r="AB64" s="15"/>
    </row>
    <row r="65" spans="1:36" s="497" customFormat="1" ht="15.75">
      <c r="A65" s="495"/>
      <c r="B65" s="2423" t="str">
        <f>VLOOKUP(A73,'12 - FINANCEIRA'!_xlnm.Print_Area,1,FALSE)</f>
        <v>1.1.6</v>
      </c>
      <c r="C65" s="2535" t="str">
        <f>VLOOKUP(A73,'12 - FINANCEIRA'!_xlnm.Print_Area,3,FALSE)</f>
        <v>Placa de obra nas dimensões de 2.0 x 4.0 m, padrão IOPES</v>
      </c>
      <c r="D65" s="2537" t="s">
        <v>97</v>
      </c>
      <c r="E65" s="2538"/>
      <c r="F65" s="2538"/>
      <c r="G65" s="2538"/>
      <c r="H65" s="2538"/>
      <c r="I65" s="2539"/>
      <c r="J65" s="2540" t="s">
        <v>98</v>
      </c>
      <c r="K65" s="2540" t="s">
        <v>102</v>
      </c>
      <c r="L65" s="2540" t="s">
        <v>103</v>
      </c>
      <c r="M65" s="2540" t="s">
        <v>228</v>
      </c>
      <c r="N65" s="2540" t="s">
        <v>229</v>
      </c>
      <c r="O65" s="2540" t="s">
        <v>107</v>
      </c>
      <c r="P65" s="631" t="s">
        <v>153</v>
      </c>
      <c r="Q65" s="2540" t="s">
        <v>2</v>
      </c>
      <c r="R65" s="2563" t="s">
        <v>2</v>
      </c>
      <c r="S65" s="2540" t="s">
        <v>99</v>
      </c>
      <c r="T65" s="2540" t="s">
        <v>17</v>
      </c>
      <c r="U65" s="2428" t="s">
        <v>362</v>
      </c>
      <c r="V65" s="870">
        <f t="shared" ref="V65:V72" si="5">V66</f>
        <v>0.96000000000000085</v>
      </c>
      <c r="W65" s="26"/>
      <c r="X65" s="26"/>
      <c r="Y65" s="26"/>
      <c r="Z65" s="27"/>
      <c r="AA65" s="9"/>
      <c r="AB65" s="9"/>
      <c r="AC65" s="9"/>
      <c r="AD65" s="9"/>
      <c r="AE65" s="9"/>
      <c r="AF65" s="9"/>
      <c r="AG65" s="9"/>
      <c r="AH65" s="9"/>
      <c r="AI65" s="9"/>
      <c r="AJ65" s="9"/>
    </row>
    <row r="66" spans="1:36" s="497" customFormat="1" ht="15.75">
      <c r="A66" s="495"/>
      <c r="B66" s="2471" t="e">
        <f>LEFT(#REF!,5)</f>
        <v>#REF!</v>
      </c>
      <c r="C66" s="2536" t="e">
        <f>VLOOKUP(LEFT(#REF!,5),'12 - FINANCEIRA'!_xlnm.Print_Area,2,FALSE)</f>
        <v>#REF!</v>
      </c>
      <c r="D66" s="2542" t="s">
        <v>14</v>
      </c>
      <c r="E66" s="2543"/>
      <c r="F66" s="2544"/>
      <c r="G66" s="2545" t="s">
        <v>15</v>
      </c>
      <c r="H66" s="2546"/>
      <c r="I66" s="2547"/>
      <c r="J66" s="2541"/>
      <c r="K66" s="2541"/>
      <c r="L66" s="2541"/>
      <c r="M66" s="2541"/>
      <c r="N66" s="2541"/>
      <c r="O66" s="2541"/>
      <c r="P66" s="632" t="s">
        <v>104</v>
      </c>
      <c r="Q66" s="2541"/>
      <c r="R66" s="2564"/>
      <c r="S66" s="2541"/>
      <c r="T66" s="2541"/>
      <c r="U66" s="2429"/>
      <c r="V66" s="870">
        <f t="shared" si="5"/>
        <v>0.96000000000000085</v>
      </c>
      <c r="W66" s="26"/>
      <c r="X66" s="26"/>
      <c r="Y66" s="26"/>
      <c r="Z66" s="27"/>
      <c r="AA66" s="9"/>
      <c r="AB66" s="9"/>
      <c r="AC66" s="9"/>
      <c r="AD66" s="9"/>
      <c r="AE66" s="9"/>
      <c r="AF66" s="9"/>
      <c r="AG66" s="9"/>
      <c r="AH66" s="9"/>
      <c r="AI66" s="9"/>
      <c r="AJ66" s="9"/>
    </row>
    <row r="67" spans="1:36" s="9" customFormat="1" ht="15">
      <c r="A67" s="944"/>
      <c r="B67" s="922"/>
      <c r="C67" s="58" t="s">
        <v>429</v>
      </c>
      <c r="D67" s="82"/>
      <c r="E67" s="44"/>
      <c r="F67" s="83"/>
      <c r="G67" s="43"/>
      <c r="H67" s="44"/>
      <c r="I67" s="45"/>
      <c r="J67" s="46"/>
      <c r="K67" s="47">
        <v>4</v>
      </c>
      <c r="L67" s="48">
        <v>2</v>
      </c>
      <c r="M67" s="49"/>
      <c r="N67" s="211">
        <f>K67*L67</f>
        <v>8</v>
      </c>
      <c r="O67" s="50"/>
      <c r="P67" s="48"/>
      <c r="Q67" s="209"/>
      <c r="R67" s="168">
        <f>N67</f>
        <v>8</v>
      </c>
      <c r="S67" s="876" t="s">
        <v>7</v>
      </c>
      <c r="T67" s="90" t="s">
        <v>368</v>
      </c>
      <c r="U67" s="39" t="s">
        <v>709</v>
      </c>
      <c r="V67" s="870">
        <f t="shared" si="5"/>
        <v>0.96000000000000085</v>
      </c>
      <c r="W67" s="26"/>
      <c r="X67" s="26"/>
      <c r="Y67" s="26"/>
      <c r="Z67" s="27"/>
      <c r="AA67" s="41"/>
      <c r="AB67" s="42"/>
    </row>
    <row r="68" spans="1:36" s="507" customFormat="1" ht="15">
      <c r="A68" s="499"/>
      <c r="B68" s="500"/>
      <c r="C68" s="79" t="s">
        <v>429</v>
      </c>
      <c r="D68" s="156"/>
      <c r="E68" s="86"/>
      <c r="F68" s="155"/>
      <c r="G68" s="85"/>
      <c r="H68" s="86"/>
      <c r="I68" s="87"/>
      <c r="J68" s="138"/>
      <c r="K68" s="137"/>
      <c r="L68" s="134"/>
      <c r="M68" s="136"/>
      <c r="N68" s="501"/>
      <c r="O68" s="135"/>
      <c r="P68" s="134"/>
      <c r="Q68" s="225"/>
      <c r="R68" s="508">
        <v>0.96</v>
      </c>
      <c r="S68" s="509" t="s">
        <v>7</v>
      </c>
      <c r="T68" s="262" t="s">
        <v>90</v>
      </c>
      <c r="U68" s="212" t="s">
        <v>1003</v>
      </c>
      <c r="V68" s="870">
        <f t="shared" si="5"/>
        <v>0.96000000000000085</v>
      </c>
      <c r="W68" s="503"/>
      <c r="X68" s="503"/>
      <c r="Y68" s="503"/>
      <c r="Z68" s="504"/>
      <c r="AA68" s="505"/>
      <c r="AB68" s="506"/>
    </row>
    <row r="69" spans="1:36" s="515" customFormat="1" ht="15">
      <c r="A69" s="510"/>
      <c r="B69" s="500"/>
      <c r="C69" s="601"/>
      <c r="D69" s="1021"/>
      <c r="E69" s="603"/>
      <c r="F69" s="1022"/>
      <c r="G69" s="602"/>
      <c r="H69" s="603"/>
      <c r="I69" s="604"/>
      <c r="J69" s="605"/>
      <c r="K69" s="606"/>
      <c r="L69" s="607"/>
      <c r="M69" s="608"/>
      <c r="N69" s="610"/>
      <c r="O69" s="610"/>
      <c r="P69" s="607"/>
      <c r="Q69" s="634"/>
      <c r="R69" s="635"/>
      <c r="S69" s="612"/>
      <c r="T69" s="611"/>
      <c r="U69" s="212"/>
      <c r="V69" s="870">
        <f t="shared" si="5"/>
        <v>0.96000000000000085</v>
      </c>
      <c r="W69" s="513"/>
      <c r="X69" s="513"/>
      <c r="Y69" s="513"/>
      <c r="Z69" s="514"/>
    </row>
    <row r="70" spans="1:36" s="8" customFormat="1" ht="15">
      <c r="A70" s="516"/>
      <c r="B70" s="59"/>
      <c r="C70" s="614"/>
      <c r="D70" s="1021"/>
      <c r="E70" s="603"/>
      <c r="F70" s="1022"/>
      <c r="G70" s="602"/>
      <c r="H70" s="603"/>
      <c r="I70" s="604"/>
      <c r="J70" s="605"/>
      <c r="K70" s="606"/>
      <c r="L70" s="607"/>
      <c r="M70" s="608"/>
      <c r="N70" s="610"/>
      <c r="O70" s="610"/>
      <c r="P70" s="607"/>
      <c r="Q70" s="634"/>
      <c r="R70" s="636"/>
      <c r="S70" s="637"/>
      <c r="T70" s="616"/>
      <c r="U70" s="71"/>
      <c r="V70" s="870">
        <f t="shared" si="5"/>
        <v>0.96000000000000085</v>
      </c>
      <c r="AB70" s="15"/>
    </row>
    <row r="71" spans="1:36" s="8" customFormat="1" ht="15.75">
      <c r="A71" s="516"/>
      <c r="B71" s="877"/>
      <c r="C71" s="673"/>
      <c r="D71" s="2582" t="s">
        <v>18</v>
      </c>
      <c r="E71" s="2583"/>
      <c r="F71" s="2583"/>
      <c r="G71" s="2583"/>
      <c r="H71" s="2583"/>
      <c r="I71" s="2584"/>
      <c r="J71" s="2585">
        <f>VLOOKUP(A73,'12 - FINANCEIRA'!_xlnm.Print_Area,6,FALSE)</f>
        <v>8.9600000000000009</v>
      </c>
      <c r="K71" s="2586"/>
      <c r="L71" s="617" t="str">
        <f>VLOOKUP(A73,'12 - FINANCEIRA'!_xlnm.Print_Area,4,FALSE)</f>
        <v>m²</v>
      </c>
      <c r="M71" s="2527" t="s">
        <v>19</v>
      </c>
      <c r="N71" s="2528"/>
      <c r="O71" s="2528"/>
      <c r="P71" s="2528"/>
      <c r="Q71" s="2529"/>
      <c r="R71" s="834">
        <f>SUM(R67:R70)</f>
        <v>8.9600000000000009</v>
      </c>
      <c r="S71" s="618" t="str">
        <f>L71</f>
        <v>m²</v>
      </c>
      <c r="T71" s="674"/>
      <c r="U71" s="663"/>
      <c r="V71" s="870">
        <f t="shared" si="5"/>
        <v>0.96000000000000085</v>
      </c>
      <c r="AB71" s="15"/>
    </row>
    <row r="72" spans="1:36" s="8" customFormat="1" ht="15.75">
      <c r="A72" s="516"/>
      <c r="B72" s="877"/>
      <c r="C72" s="675"/>
      <c r="D72" s="2515" t="s">
        <v>20</v>
      </c>
      <c r="E72" s="2516"/>
      <c r="F72" s="2516"/>
      <c r="G72" s="2516"/>
      <c r="H72" s="2516"/>
      <c r="I72" s="2517"/>
      <c r="J72" s="2521">
        <f>R71/J71</f>
        <v>1</v>
      </c>
      <c r="K72" s="2522"/>
      <c r="L72" s="2525"/>
      <c r="M72" s="2527" t="s">
        <v>21</v>
      </c>
      <c r="N72" s="2528"/>
      <c r="O72" s="2528"/>
      <c r="P72" s="2528"/>
      <c r="Q72" s="2529"/>
      <c r="R72" s="834">
        <f>VLOOKUP(A73,'12 - FINANCEIRA'!_xlnm.Print_Area,8,FALSE)</f>
        <v>8</v>
      </c>
      <c r="S72" s="835" t="str">
        <f>L71</f>
        <v>m²</v>
      </c>
      <c r="T72" s="674"/>
      <c r="U72" s="663"/>
      <c r="V72" s="870">
        <f t="shared" si="5"/>
        <v>0.96000000000000085</v>
      </c>
      <c r="AB72" s="15"/>
    </row>
    <row r="73" spans="1:36" s="8" customFormat="1" ht="15.75">
      <c r="A73" s="510" t="s">
        <v>423</v>
      </c>
      <c r="B73" s="877"/>
      <c r="C73" s="673"/>
      <c r="D73" s="2558"/>
      <c r="E73" s="2559"/>
      <c r="F73" s="2559"/>
      <c r="G73" s="2559"/>
      <c r="H73" s="2559"/>
      <c r="I73" s="2560"/>
      <c r="J73" s="2561"/>
      <c r="K73" s="2562"/>
      <c r="L73" s="2565"/>
      <c r="M73" s="2555" t="s">
        <v>22</v>
      </c>
      <c r="N73" s="2556"/>
      <c r="O73" s="2556"/>
      <c r="P73" s="2556"/>
      <c r="Q73" s="2557"/>
      <c r="R73" s="619">
        <f>R71-R72</f>
        <v>0.96000000000000085</v>
      </c>
      <c r="S73" s="620" t="str">
        <f>L71</f>
        <v>m²</v>
      </c>
      <c r="T73" s="674"/>
      <c r="U73" s="663"/>
      <c r="V73" s="870">
        <f>R73</f>
        <v>0.96000000000000085</v>
      </c>
      <c r="AB73" s="15"/>
    </row>
    <row r="74" spans="1:36" s="8" customFormat="1" ht="15.75">
      <c r="A74" s="516"/>
      <c r="B74" s="523"/>
      <c r="C74" s="621"/>
      <c r="D74" s="623"/>
      <c r="E74" s="623"/>
      <c r="F74" s="623"/>
      <c r="G74" s="622"/>
      <c r="H74" s="622"/>
      <c r="I74" s="622"/>
      <c r="J74" s="624"/>
      <c r="K74" s="625"/>
      <c r="L74" s="626"/>
      <c r="M74" s="627"/>
      <c r="N74" s="627"/>
      <c r="O74" s="627"/>
      <c r="P74" s="627"/>
      <c r="Q74" s="627"/>
      <c r="R74" s="628"/>
      <c r="S74" s="629"/>
      <c r="T74" s="630"/>
      <c r="U74" s="534"/>
      <c r="V74" s="871">
        <f>SUM(V65:V73)</f>
        <v>8.6400000000000077</v>
      </c>
      <c r="AB74" s="15"/>
    </row>
    <row r="75" spans="1:36" s="497" customFormat="1" ht="15.75">
      <c r="A75" s="495"/>
      <c r="B75" s="2423" t="str">
        <f>VLOOKUP(A83,'12 - FINANCEIRA'!_xlnm.Print_Area,1,FALSE)</f>
        <v>1.1.7</v>
      </c>
      <c r="C75" s="2421" t="str">
        <f>VLOOKUP(A83,'12 - FINANCEIRA'!_xlnm.Print_Area,3,FALSE)</f>
        <v>Placa para inauguração de obra em alumínio polido e=4mm, dimensões 40 x 50 cm, gravação em baixo relevo, inclusive pintura e fixação</v>
      </c>
      <c r="D75" s="2479" t="s">
        <v>97</v>
      </c>
      <c r="E75" s="2480"/>
      <c r="F75" s="2480"/>
      <c r="G75" s="2480"/>
      <c r="H75" s="2480"/>
      <c r="I75" s="2481"/>
      <c r="J75" s="2416" t="s">
        <v>98</v>
      </c>
      <c r="K75" s="2416" t="s">
        <v>102</v>
      </c>
      <c r="L75" s="2416" t="s">
        <v>103</v>
      </c>
      <c r="M75" s="2416" t="s">
        <v>228</v>
      </c>
      <c r="N75" s="2416" t="s">
        <v>229</v>
      </c>
      <c r="O75" s="2416" t="s">
        <v>107</v>
      </c>
      <c r="P75" s="496" t="s">
        <v>153</v>
      </c>
      <c r="Q75" s="2416" t="s">
        <v>16</v>
      </c>
      <c r="R75" s="2425" t="s">
        <v>2</v>
      </c>
      <c r="S75" s="2416" t="s">
        <v>99</v>
      </c>
      <c r="T75" s="2416" t="s">
        <v>17</v>
      </c>
      <c r="U75" s="2428" t="s">
        <v>362</v>
      </c>
      <c r="V75" s="1314">
        <f t="shared" ref="V75:V82" si="6">V76</f>
        <v>1</v>
      </c>
      <c r="W75" s="26"/>
      <c r="X75" s="26"/>
      <c r="Y75" s="26"/>
      <c r="Z75" s="27"/>
      <c r="AA75" s="9"/>
      <c r="AB75" s="9"/>
      <c r="AC75" s="9"/>
      <c r="AD75" s="9"/>
      <c r="AE75" s="9"/>
      <c r="AF75" s="9"/>
      <c r="AG75" s="9"/>
      <c r="AH75" s="9"/>
      <c r="AI75" s="9"/>
      <c r="AJ75" s="9"/>
    </row>
    <row r="76" spans="1:36" s="497" customFormat="1" ht="33.75" customHeight="1">
      <c r="A76" s="495"/>
      <c r="B76" s="2471" t="e">
        <f>LEFT(#REF!,5)</f>
        <v>#REF!</v>
      </c>
      <c r="C76" s="2472" t="e">
        <f>VLOOKUP(LEFT(#REF!,5),'12 - FINANCEIRA'!_xlnm.Print_Area,2,FALSE)</f>
        <v>#REF!</v>
      </c>
      <c r="D76" s="2430" t="s">
        <v>14</v>
      </c>
      <c r="E76" s="2431"/>
      <c r="F76" s="2432"/>
      <c r="G76" s="2433" t="s">
        <v>15</v>
      </c>
      <c r="H76" s="2434"/>
      <c r="I76" s="2435"/>
      <c r="J76" s="2427"/>
      <c r="K76" s="2427"/>
      <c r="L76" s="2427"/>
      <c r="M76" s="2427"/>
      <c r="N76" s="2427"/>
      <c r="O76" s="2427"/>
      <c r="P76" s="498" t="s">
        <v>104</v>
      </c>
      <c r="Q76" s="2427"/>
      <c r="R76" s="2426"/>
      <c r="S76" s="2427"/>
      <c r="T76" s="2427"/>
      <c r="U76" s="2429"/>
      <c r="V76" s="1314">
        <f t="shared" si="6"/>
        <v>1</v>
      </c>
      <c r="W76" s="26"/>
      <c r="X76" s="26"/>
      <c r="Y76" s="26"/>
      <c r="Z76" s="27"/>
      <c r="AA76" s="9"/>
      <c r="AB76" s="9"/>
      <c r="AC76" s="9"/>
      <c r="AD76" s="9"/>
      <c r="AE76" s="9"/>
      <c r="AF76" s="9"/>
      <c r="AG76" s="9"/>
      <c r="AH76" s="9"/>
      <c r="AI76" s="9"/>
      <c r="AJ76" s="9"/>
    </row>
    <row r="77" spans="1:36" s="507" customFormat="1" ht="45">
      <c r="A77" s="499"/>
      <c r="B77" s="500"/>
      <c r="C77" s="79" t="s">
        <v>430</v>
      </c>
      <c r="D77" s="156"/>
      <c r="E77" s="86"/>
      <c r="F77" s="155"/>
      <c r="G77" s="85"/>
      <c r="H77" s="86"/>
      <c r="I77" s="87"/>
      <c r="J77" s="138"/>
      <c r="K77" s="137"/>
      <c r="L77" s="134"/>
      <c r="M77" s="136"/>
      <c r="N77" s="501"/>
      <c r="O77" s="135"/>
      <c r="P77" s="134"/>
      <c r="Q77" s="225"/>
      <c r="R77" s="502">
        <v>1</v>
      </c>
      <c r="S77" s="841" t="s">
        <v>101</v>
      </c>
      <c r="T77" s="262" t="s">
        <v>90</v>
      </c>
      <c r="U77" s="212"/>
      <c r="V77" s="1314">
        <f t="shared" si="6"/>
        <v>1</v>
      </c>
      <c r="W77" s="503"/>
      <c r="X77" s="503"/>
      <c r="Y77" s="503"/>
      <c r="Z77" s="504"/>
      <c r="AA77" s="505"/>
      <c r="AB77" s="506"/>
    </row>
    <row r="78" spans="1:36" s="507" customFormat="1" ht="15">
      <c r="A78" s="499"/>
      <c r="B78" s="500"/>
      <c r="C78" s="79"/>
      <c r="D78" s="156"/>
      <c r="E78" s="86"/>
      <c r="F78" s="155"/>
      <c r="G78" s="85"/>
      <c r="H78" s="86"/>
      <c r="I78" s="87"/>
      <c r="J78" s="138"/>
      <c r="K78" s="137"/>
      <c r="L78" s="134"/>
      <c r="M78" s="136"/>
      <c r="N78" s="501"/>
      <c r="O78" s="135"/>
      <c r="P78" s="134"/>
      <c r="Q78" s="225"/>
      <c r="R78" s="508"/>
      <c r="S78" s="509"/>
      <c r="T78" s="262"/>
      <c r="U78" s="212"/>
      <c r="V78" s="1314">
        <f t="shared" si="6"/>
        <v>1</v>
      </c>
      <c r="W78" s="503"/>
      <c r="X78" s="503"/>
      <c r="Y78" s="503"/>
      <c r="Z78" s="504"/>
      <c r="AA78" s="505"/>
      <c r="AB78" s="506"/>
    </row>
    <row r="79" spans="1:36" s="515" customFormat="1" ht="15">
      <c r="A79" s="510"/>
      <c r="B79" s="500"/>
      <c r="C79" s="79"/>
      <c r="D79" s="156"/>
      <c r="E79" s="86"/>
      <c r="F79" s="155"/>
      <c r="G79" s="85"/>
      <c r="H79" s="86"/>
      <c r="I79" s="87"/>
      <c r="J79" s="138"/>
      <c r="K79" s="137"/>
      <c r="L79" s="134"/>
      <c r="M79" s="136"/>
      <c r="N79" s="135"/>
      <c r="O79" s="135"/>
      <c r="P79" s="134"/>
      <c r="Q79" s="133"/>
      <c r="R79" s="511"/>
      <c r="S79" s="512"/>
      <c r="T79" s="262"/>
      <c r="U79" s="212"/>
      <c r="V79" s="1314">
        <f t="shared" si="6"/>
        <v>1</v>
      </c>
      <c r="W79" s="513"/>
      <c r="X79" s="513"/>
      <c r="Y79" s="513"/>
      <c r="Z79" s="514"/>
    </row>
    <row r="80" spans="1:36" s="8" customFormat="1" ht="15">
      <c r="A80" s="516"/>
      <c r="B80" s="59"/>
      <c r="C80" s="60"/>
      <c r="D80" s="82"/>
      <c r="E80" s="44"/>
      <c r="F80" s="83"/>
      <c r="G80" s="43"/>
      <c r="H80" s="44"/>
      <c r="I80" s="45"/>
      <c r="J80" s="46"/>
      <c r="K80" s="47"/>
      <c r="L80" s="48"/>
      <c r="M80" s="49"/>
      <c r="N80" s="50"/>
      <c r="O80" s="50"/>
      <c r="P80" s="48"/>
      <c r="Q80" s="53"/>
      <c r="R80" s="517"/>
      <c r="S80" s="54"/>
      <c r="T80" s="518"/>
      <c r="U80" s="71"/>
      <c r="V80" s="1314">
        <f t="shared" si="6"/>
        <v>1</v>
      </c>
      <c r="AB80" s="15"/>
    </row>
    <row r="81" spans="1:36" s="8" customFormat="1" ht="15.75">
      <c r="A81" s="516"/>
      <c r="B81" s="877"/>
      <c r="C81" s="113"/>
      <c r="D81" s="2436" t="s">
        <v>18</v>
      </c>
      <c r="E81" s="2437"/>
      <c r="F81" s="2437"/>
      <c r="G81" s="2437"/>
      <c r="H81" s="2437"/>
      <c r="I81" s="2438"/>
      <c r="J81" s="2439">
        <f>VLOOKUP(A83,'12 - FINANCEIRA'!_xlnm.Print_Area,6,FALSE)</f>
        <v>1</v>
      </c>
      <c r="K81" s="2440"/>
      <c r="L81" s="519" t="str">
        <f>VLOOKUP(A83,'12 - FINANCEIRA'!_xlnm.Print_Area,4,FALSE)</f>
        <v>und</v>
      </c>
      <c r="M81" s="2441" t="s">
        <v>19</v>
      </c>
      <c r="N81" s="2442"/>
      <c r="O81" s="2442"/>
      <c r="P81" s="2442"/>
      <c r="Q81" s="2443"/>
      <c r="R81" s="878">
        <f>SUM(R77:R80)</f>
        <v>1</v>
      </c>
      <c r="S81" s="520" t="str">
        <f>L81</f>
        <v>und</v>
      </c>
      <c r="T81" s="680"/>
      <c r="U81" s="663"/>
      <c r="V81" s="1314">
        <f t="shared" si="6"/>
        <v>1</v>
      </c>
      <c r="AB81" s="15"/>
    </row>
    <row r="82" spans="1:36" s="8" customFormat="1" ht="15.75">
      <c r="A82" s="516"/>
      <c r="B82" s="877"/>
      <c r="C82" s="681"/>
      <c r="D82" s="2444" t="s">
        <v>20</v>
      </c>
      <c r="E82" s="2445"/>
      <c r="F82" s="2445"/>
      <c r="G82" s="2445"/>
      <c r="H82" s="2445"/>
      <c r="I82" s="2446"/>
      <c r="J82" s="2450">
        <f>R81/J81</f>
        <v>1</v>
      </c>
      <c r="K82" s="2451"/>
      <c r="L82" s="2454"/>
      <c r="M82" s="2441" t="s">
        <v>21</v>
      </c>
      <c r="N82" s="2442"/>
      <c r="O82" s="2442"/>
      <c r="P82" s="2442"/>
      <c r="Q82" s="2443"/>
      <c r="R82" s="878">
        <f>VLOOKUP(A83,'12 - FINANCEIRA'!_xlnm.Print_Area,8,FALSE)</f>
        <v>0</v>
      </c>
      <c r="S82" s="879" t="str">
        <f>L81</f>
        <v>und</v>
      </c>
      <c r="T82" s="680"/>
      <c r="U82" s="663"/>
      <c r="V82" s="1314">
        <f t="shared" si="6"/>
        <v>1</v>
      </c>
      <c r="AB82" s="15"/>
    </row>
    <row r="83" spans="1:36" s="8" customFormat="1" ht="15.75">
      <c r="A83" s="510" t="s">
        <v>424</v>
      </c>
      <c r="B83" s="877"/>
      <c r="C83" s="113"/>
      <c r="D83" s="2447"/>
      <c r="E83" s="2448"/>
      <c r="F83" s="2448"/>
      <c r="G83" s="2448"/>
      <c r="H83" s="2448"/>
      <c r="I83" s="2449"/>
      <c r="J83" s="2452"/>
      <c r="K83" s="2453"/>
      <c r="L83" s="2455"/>
      <c r="M83" s="2456" t="s">
        <v>22</v>
      </c>
      <c r="N83" s="2457"/>
      <c r="O83" s="2457"/>
      <c r="P83" s="2457"/>
      <c r="Q83" s="2458"/>
      <c r="R83" s="521">
        <f>R81-R82</f>
        <v>1</v>
      </c>
      <c r="S83" s="522" t="str">
        <f>L81</f>
        <v>und</v>
      </c>
      <c r="T83" s="680"/>
      <c r="U83" s="663"/>
      <c r="V83" s="1314">
        <f>R83</f>
        <v>1</v>
      </c>
      <c r="AB83" s="15"/>
    </row>
    <row r="84" spans="1:36" s="8" customFormat="1" ht="15.75">
      <c r="A84" s="516"/>
      <c r="B84" s="651"/>
      <c r="C84" s="652"/>
      <c r="D84" s="654"/>
      <c r="E84" s="654"/>
      <c r="F84" s="654"/>
      <c r="G84" s="653"/>
      <c r="H84" s="653"/>
      <c r="I84" s="653"/>
      <c r="J84" s="655"/>
      <c r="K84" s="656"/>
      <c r="L84" s="657"/>
      <c r="M84" s="658"/>
      <c r="N84" s="658"/>
      <c r="O84" s="658"/>
      <c r="P84" s="658"/>
      <c r="Q84" s="658"/>
      <c r="R84" s="659"/>
      <c r="S84" s="660"/>
      <c r="T84" s="661"/>
      <c r="U84" s="662"/>
      <c r="V84" s="1658">
        <f>SUM(V75:V83)</f>
        <v>9</v>
      </c>
      <c r="AB84" s="15"/>
    </row>
    <row r="85" spans="1:36" s="494" customFormat="1" ht="15.75">
      <c r="A85" s="488"/>
      <c r="B85" s="489" t="s">
        <v>378</v>
      </c>
      <c r="C85" s="638" t="str">
        <f>VLOOKUP(B85,'12 - FINANCEIRA'!_xlnm.Print_Area,2,FALSE)</f>
        <v>CANTEIRO DE OBRAS</v>
      </c>
      <c r="D85" s="1044"/>
      <c r="E85" s="1044"/>
      <c r="F85" s="1044"/>
      <c r="G85" s="2553"/>
      <c r="H85" s="2554"/>
      <c r="I85" s="2554"/>
      <c r="J85" s="2554"/>
      <c r="K85" s="2554"/>
      <c r="L85" s="2554"/>
      <c r="M85" s="639"/>
      <c r="N85" s="640"/>
      <c r="O85" s="2554"/>
      <c r="P85" s="2554"/>
      <c r="Q85" s="2554"/>
      <c r="R85" s="2554"/>
      <c r="S85" s="641"/>
      <c r="T85" s="678"/>
      <c r="U85" s="679"/>
      <c r="V85" s="487">
        <f>SUM(V86:V147)</f>
        <v>36</v>
      </c>
    </row>
    <row r="86" spans="1:36" s="497" customFormat="1" ht="15.75">
      <c r="A86" s="495"/>
      <c r="B86" s="2423" t="str">
        <f>VLOOKUP(A94,'12 - FINANCEIRA'!_xlnm.Print_Area,1,FALSE)</f>
        <v>1.2.1</v>
      </c>
      <c r="C86" s="2535" t="str">
        <f>VLOOKUP(A94,'12 - FINANCEIRA'!_xlnm.Print_Area,3,FALSE)</f>
        <v xml:space="preserve">Mobilização e desmobilização de conteiner locado </v>
      </c>
      <c r="D86" s="2537" t="s">
        <v>97</v>
      </c>
      <c r="E86" s="2538"/>
      <c r="F86" s="2538"/>
      <c r="G86" s="2538"/>
      <c r="H86" s="2538"/>
      <c r="I86" s="2539"/>
      <c r="J86" s="2540" t="s">
        <v>98</v>
      </c>
      <c r="K86" s="2540" t="s">
        <v>102</v>
      </c>
      <c r="L86" s="2540" t="s">
        <v>103</v>
      </c>
      <c r="M86" s="2540" t="s">
        <v>228</v>
      </c>
      <c r="N86" s="2540" t="s">
        <v>229</v>
      </c>
      <c r="O86" s="2540" t="s">
        <v>107</v>
      </c>
      <c r="P86" s="631" t="s">
        <v>153</v>
      </c>
      <c r="Q86" s="2540" t="s">
        <v>2</v>
      </c>
      <c r="R86" s="2563" t="s">
        <v>2</v>
      </c>
      <c r="S86" s="2540" t="s">
        <v>99</v>
      </c>
      <c r="T86" s="2540" t="s">
        <v>17</v>
      </c>
      <c r="U86" s="2428" t="s">
        <v>362</v>
      </c>
      <c r="V86" s="1314">
        <f t="shared" ref="V86:V93" si="7">V87</f>
        <v>2</v>
      </c>
      <c r="W86" s="26"/>
      <c r="X86" s="26"/>
      <c r="Y86" s="26"/>
      <c r="Z86" s="27"/>
      <c r="AA86" s="9"/>
      <c r="AB86" s="9"/>
      <c r="AC86" s="9"/>
      <c r="AD86" s="9"/>
      <c r="AE86" s="9"/>
      <c r="AF86" s="9"/>
      <c r="AG86" s="9"/>
      <c r="AH86" s="9"/>
      <c r="AI86" s="9"/>
      <c r="AJ86" s="9"/>
    </row>
    <row r="87" spans="1:36" s="497" customFormat="1" ht="15.75">
      <c r="A87" s="495"/>
      <c r="B87" s="2471" t="e">
        <f>LEFT(#REF!,5)</f>
        <v>#REF!</v>
      </c>
      <c r="C87" s="2536" t="e">
        <f>VLOOKUP(LEFT(#REF!,5),'12 - FINANCEIRA'!_xlnm.Print_Area,2,FALSE)</f>
        <v>#REF!</v>
      </c>
      <c r="D87" s="2542" t="s">
        <v>14</v>
      </c>
      <c r="E87" s="2543"/>
      <c r="F87" s="2544"/>
      <c r="G87" s="2545" t="s">
        <v>15</v>
      </c>
      <c r="H87" s="2546"/>
      <c r="I87" s="2547"/>
      <c r="J87" s="2541"/>
      <c r="K87" s="2541"/>
      <c r="L87" s="2541"/>
      <c r="M87" s="2541"/>
      <c r="N87" s="2541"/>
      <c r="O87" s="2541"/>
      <c r="P87" s="632" t="s">
        <v>104</v>
      </c>
      <c r="Q87" s="2541"/>
      <c r="R87" s="2564"/>
      <c r="S87" s="2541"/>
      <c r="T87" s="2541"/>
      <c r="U87" s="2429"/>
      <c r="V87" s="1314">
        <f t="shared" si="7"/>
        <v>2</v>
      </c>
      <c r="W87" s="26"/>
      <c r="X87" s="26"/>
      <c r="Y87" s="26"/>
      <c r="Z87" s="27"/>
      <c r="AA87" s="9"/>
      <c r="AB87" s="9"/>
      <c r="AC87" s="9"/>
      <c r="AD87" s="9"/>
      <c r="AE87" s="9"/>
      <c r="AF87" s="9"/>
      <c r="AG87" s="9"/>
      <c r="AH87" s="9"/>
      <c r="AI87" s="9"/>
      <c r="AJ87" s="9"/>
    </row>
    <row r="88" spans="1:36" s="9" customFormat="1" ht="15">
      <c r="A88" s="944"/>
      <c r="B88" s="921"/>
      <c r="C88" s="1293" t="s">
        <v>1029</v>
      </c>
      <c r="D88" s="175"/>
      <c r="E88" s="174"/>
      <c r="F88" s="173"/>
      <c r="G88" s="1281"/>
      <c r="H88" s="174"/>
      <c r="I88" s="1282"/>
      <c r="J88" s="172"/>
      <c r="K88" s="1283"/>
      <c r="L88" s="171"/>
      <c r="M88" s="770"/>
      <c r="N88" s="771"/>
      <c r="O88" s="182"/>
      <c r="P88" s="171"/>
      <c r="Q88" s="893"/>
      <c r="R88" s="88">
        <v>2</v>
      </c>
      <c r="S88" s="216" t="s">
        <v>101</v>
      </c>
      <c r="T88" s="772" t="s">
        <v>368</v>
      </c>
      <c r="U88" s="169"/>
      <c r="V88" s="1314">
        <f t="shared" si="7"/>
        <v>2</v>
      </c>
      <c r="W88" s="26"/>
      <c r="X88" s="26"/>
      <c r="Y88" s="26"/>
      <c r="Z88" s="27"/>
      <c r="AA88" s="41"/>
      <c r="AB88" s="42"/>
    </row>
    <row r="89" spans="1:36" s="724" customFormat="1" ht="15">
      <c r="A89" s="717"/>
      <c r="B89" s="718"/>
      <c r="C89" s="1598" t="s">
        <v>1028</v>
      </c>
      <c r="D89" s="156"/>
      <c r="E89" s="86"/>
      <c r="F89" s="155"/>
      <c r="G89" s="85"/>
      <c r="H89" s="86"/>
      <c r="I89" s="87"/>
      <c r="J89" s="138"/>
      <c r="K89" s="137"/>
      <c r="L89" s="134"/>
      <c r="M89" s="136"/>
      <c r="N89" s="501"/>
      <c r="O89" s="135"/>
      <c r="P89" s="134"/>
      <c r="Q89" s="225"/>
      <c r="R89" s="508">
        <v>2</v>
      </c>
      <c r="S89" s="512" t="s">
        <v>101</v>
      </c>
      <c r="T89" s="262" t="s">
        <v>90</v>
      </c>
      <c r="U89" s="212"/>
      <c r="V89" s="1659">
        <f t="shared" si="7"/>
        <v>2</v>
      </c>
      <c r="W89" s="720"/>
      <c r="X89" s="720"/>
      <c r="Y89" s="720"/>
      <c r="Z89" s="721"/>
      <c r="AA89" s="722"/>
      <c r="AB89" s="723"/>
    </row>
    <row r="90" spans="1:36" s="729" customFormat="1" ht="15">
      <c r="A90" s="726"/>
      <c r="B90" s="718"/>
      <c r="C90" s="725"/>
      <c r="D90" s="1021"/>
      <c r="E90" s="603"/>
      <c r="F90" s="1022"/>
      <c r="G90" s="602"/>
      <c r="H90" s="603"/>
      <c r="I90" s="604"/>
      <c r="J90" s="605"/>
      <c r="K90" s="606"/>
      <c r="L90" s="607"/>
      <c r="M90" s="608"/>
      <c r="N90" s="609"/>
      <c r="O90" s="610"/>
      <c r="P90" s="607"/>
      <c r="Q90" s="633"/>
      <c r="R90" s="613"/>
      <c r="S90" s="612"/>
      <c r="T90" s="611"/>
      <c r="U90" s="719"/>
      <c r="V90" s="1659">
        <f t="shared" si="7"/>
        <v>2</v>
      </c>
      <c r="W90" s="727"/>
      <c r="X90" s="727"/>
      <c r="Y90" s="727"/>
      <c r="Z90" s="728"/>
    </row>
    <row r="91" spans="1:36" s="729" customFormat="1" ht="15">
      <c r="A91" s="726"/>
      <c r="B91" s="1002"/>
      <c r="C91" s="1003"/>
      <c r="D91" s="1061"/>
      <c r="E91" s="1005"/>
      <c r="F91" s="1062"/>
      <c r="G91" s="1004"/>
      <c r="H91" s="1005"/>
      <c r="I91" s="1006"/>
      <c r="J91" s="1007"/>
      <c r="K91" s="1008"/>
      <c r="L91" s="1009"/>
      <c r="M91" s="1010"/>
      <c r="N91" s="1011"/>
      <c r="O91" s="1012"/>
      <c r="P91" s="1009"/>
      <c r="Q91" s="1013"/>
      <c r="R91" s="615"/>
      <c r="S91" s="1014"/>
      <c r="T91" s="1015"/>
      <c r="U91" s="1155"/>
      <c r="V91" s="1659">
        <f>V92</f>
        <v>2</v>
      </c>
      <c r="AB91" s="795"/>
    </row>
    <row r="92" spans="1:36" s="8" customFormat="1" ht="15.75">
      <c r="A92" s="516"/>
      <c r="B92" s="877"/>
      <c r="C92" s="673"/>
      <c r="D92" s="2518" t="s">
        <v>18</v>
      </c>
      <c r="E92" s="2519"/>
      <c r="F92" s="2519"/>
      <c r="G92" s="2519"/>
      <c r="H92" s="2519"/>
      <c r="I92" s="2520"/>
      <c r="J92" s="2530">
        <f>VLOOKUP(A94,'12 - FINANCEIRA'!_xlnm.Print_Area,6,FALSE)</f>
        <v>4</v>
      </c>
      <c r="K92" s="2531"/>
      <c r="L92" s="730" t="str">
        <f>VLOOKUP(A94,'12 - FINANCEIRA'!_xlnm.Print_Area,4,FALSE)</f>
        <v>und</v>
      </c>
      <c r="M92" s="2532" t="s">
        <v>19</v>
      </c>
      <c r="N92" s="2533"/>
      <c r="O92" s="2533"/>
      <c r="P92" s="2533"/>
      <c r="Q92" s="2534"/>
      <c r="R92" s="731">
        <f>SUM(R88:R91)</f>
        <v>4</v>
      </c>
      <c r="S92" s="732" t="str">
        <f>L92</f>
        <v>und</v>
      </c>
      <c r="T92" s="674"/>
      <c r="U92" s="663"/>
      <c r="V92" s="1314">
        <f t="shared" si="7"/>
        <v>2</v>
      </c>
      <c r="AB92" s="15"/>
    </row>
    <row r="93" spans="1:36" s="8" customFormat="1" ht="15.75">
      <c r="A93" s="516"/>
      <c r="B93" s="877"/>
      <c r="C93" s="675"/>
      <c r="D93" s="2515" t="s">
        <v>20</v>
      </c>
      <c r="E93" s="2516"/>
      <c r="F93" s="2516"/>
      <c r="G93" s="2516"/>
      <c r="H93" s="2516"/>
      <c r="I93" s="2517"/>
      <c r="J93" s="2521">
        <f>R92/J92</f>
        <v>1</v>
      </c>
      <c r="K93" s="2522"/>
      <c r="L93" s="2525"/>
      <c r="M93" s="2527" t="s">
        <v>21</v>
      </c>
      <c r="N93" s="2528"/>
      <c r="O93" s="2528"/>
      <c r="P93" s="2528"/>
      <c r="Q93" s="2529"/>
      <c r="R93" s="834">
        <f>VLOOKUP(A94,'12 - FINANCEIRA'!_xlnm.Print_Area,8,FALSE)</f>
        <v>2</v>
      </c>
      <c r="S93" s="835" t="str">
        <f>L92</f>
        <v>und</v>
      </c>
      <c r="T93" s="674"/>
      <c r="U93" s="663"/>
      <c r="V93" s="1314">
        <f t="shared" si="7"/>
        <v>2</v>
      </c>
      <c r="AB93" s="15"/>
    </row>
    <row r="94" spans="1:36" s="8" customFormat="1" ht="15.75">
      <c r="A94" s="510" t="s">
        <v>379</v>
      </c>
      <c r="B94" s="880"/>
      <c r="C94" s="676"/>
      <c r="D94" s="2518"/>
      <c r="E94" s="2519"/>
      <c r="F94" s="2519"/>
      <c r="G94" s="2519"/>
      <c r="H94" s="2519"/>
      <c r="I94" s="2520"/>
      <c r="J94" s="2523"/>
      <c r="K94" s="2524"/>
      <c r="L94" s="2526"/>
      <c r="M94" s="2527" t="s">
        <v>22</v>
      </c>
      <c r="N94" s="2528"/>
      <c r="O94" s="2528"/>
      <c r="P94" s="2528"/>
      <c r="Q94" s="2529"/>
      <c r="R94" s="834">
        <f>R92-R93</f>
        <v>2</v>
      </c>
      <c r="S94" s="835" t="str">
        <f>L92</f>
        <v>und</v>
      </c>
      <c r="T94" s="677"/>
      <c r="U94" s="881"/>
      <c r="V94" s="1314">
        <f>R94</f>
        <v>2</v>
      </c>
      <c r="AB94" s="15"/>
    </row>
    <row r="95" spans="1:36" s="8" customFormat="1" ht="15.75">
      <c r="A95" s="516"/>
      <c r="B95" s="523"/>
      <c r="C95" s="621"/>
      <c r="D95" s="623"/>
      <c r="E95" s="623"/>
      <c r="F95" s="623"/>
      <c r="G95" s="622"/>
      <c r="H95" s="622"/>
      <c r="I95" s="622"/>
      <c r="J95" s="624"/>
      <c r="K95" s="625"/>
      <c r="L95" s="626"/>
      <c r="M95" s="627"/>
      <c r="N95" s="627"/>
      <c r="O95" s="627"/>
      <c r="P95" s="627"/>
      <c r="Q95" s="627"/>
      <c r="R95" s="628"/>
      <c r="S95" s="629"/>
      <c r="T95" s="630"/>
      <c r="U95" s="534"/>
      <c r="V95" s="1658">
        <f>SUM(V86:V94)</f>
        <v>18</v>
      </c>
      <c r="AB95" s="15"/>
    </row>
    <row r="96" spans="1:36" s="497" customFormat="1" ht="33" hidden="1" customHeight="1">
      <c r="A96" s="495"/>
      <c r="B96" s="2423" t="str">
        <f>VLOOKUP(A107,'12 - FINANCEIRA'!_xlnm.Print_Area,1,FALSE)</f>
        <v>1.2.2</v>
      </c>
      <c r="C96" s="2421" t="str">
        <f>VLOOKUP(A107,'12 - FINANCEIRA'!_xlnm.Print_Area,3,FALSE)</f>
        <v>Aluguel mensal container para refeitorio, incl. porta, 2 janelas, abert p/ ar cond., 2 pt iluminação, 2 tomadas elét. e 1 tomada telef. Isolamento térmico (paredes e teto), piso em comp. Naval pintado, cert. NR18, incl. laundo descontaminação.</v>
      </c>
      <c r="D96" s="2479" t="s">
        <v>57</v>
      </c>
      <c r="E96" s="2480"/>
      <c r="F96" s="2480"/>
      <c r="G96" s="2480"/>
      <c r="H96" s="2480"/>
      <c r="I96" s="2481"/>
      <c r="J96" s="2416" t="s">
        <v>66</v>
      </c>
      <c r="K96" s="2416" t="s">
        <v>102</v>
      </c>
      <c r="L96" s="2416" t="s">
        <v>103</v>
      </c>
      <c r="M96" s="2416" t="s">
        <v>228</v>
      </c>
      <c r="N96" s="2416" t="s">
        <v>229</v>
      </c>
      <c r="O96" s="2416" t="s">
        <v>107</v>
      </c>
      <c r="P96" s="496" t="s">
        <v>153</v>
      </c>
      <c r="Q96" s="2416" t="s">
        <v>2</v>
      </c>
      <c r="R96" s="2425" t="s">
        <v>2</v>
      </c>
      <c r="S96" s="2416" t="s">
        <v>99</v>
      </c>
      <c r="T96" s="2416" t="s">
        <v>17</v>
      </c>
      <c r="U96" s="2428" t="s">
        <v>362</v>
      </c>
      <c r="V96" s="870">
        <f t="shared" ref="V96:V106" si="8">V97</f>
        <v>0</v>
      </c>
      <c r="W96" s="26"/>
      <c r="X96" s="26"/>
      <c r="Y96" s="26"/>
      <c r="Z96" s="27"/>
      <c r="AA96" s="9"/>
      <c r="AB96" s="9"/>
      <c r="AC96" s="9"/>
      <c r="AD96" s="9"/>
      <c r="AE96" s="9"/>
      <c r="AF96" s="9"/>
      <c r="AG96" s="9"/>
      <c r="AH96" s="9"/>
      <c r="AI96" s="9"/>
      <c r="AJ96" s="9"/>
    </row>
    <row r="97" spans="1:36" s="497" customFormat="1" ht="33" hidden="1" customHeight="1">
      <c r="A97" s="495"/>
      <c r="B97" s="2471" t="e">
        <f>LEFT(#REF!,5)</f>
        <v>#REF!</v>
      </c>
      <c r="C97" s="2472" t="e">
        <f>VLOOKUP(LEFT(#REF!,5),'12 - FINANCEIRA'!_xlnm.Print_Area,2,FALSE)</f>
        <v>#REF!</v>
      </c>
      <c r="D97" s="2430" t="s">
        <v>14</v>
      </c>
      <c r="E97" s="2431"/>
      <c r="F97" s="2432"/>
      <c r="G97" s="2433" t="s">
        <v>15</v>
      </c>
      <c r="H97" s="2434"/>
      <c r="I97" s="2435"/>
      <c r="J97" s="2427"/>
      <c r="K97" s="2427"/>
      <c r="L97" s="2427"/>
      <c r="M97" s="2427"/>
      <c r="N97" s="2427"/>
      <c r="O97" s="2427"/>
      <c r="P97" s="498" t="s">
        <v>104</v>
      </c>
      <c r="Q97" s="2427"/>
      <c r="R97" s="2426"/>
      <c r="S97" s="2427"/>
      <c r="T97" s="2427"/>
      <c r="U97" s="2429"/>
      <c r="V97" s="1314">
        <f t="shared" si="8"/>
        <v>0</v>
      </c>
      <c r="W97" s="26"/>
      <c r="X97" s="26"/>
      <c r="Y97" s="26"/>
      <c r="Z97" s="27"/>
      <c r="AA97" s="9"/>
      <c r="AB97" s="9"/>
      <c r="AC97" s="9"/>
      <c r="AD97" s="9"/>
      <c r="AE97" s="9"/>
      <c r="AF97" s="9"/>
      <c r="AG97" s="9"/>
      <c r="AH97" s="9"/>
      <c r="AI97" s="9"/>
      <c r="AJ97" s="9"/>
    </row>
    <row r="98" spans="1:36" s="9" customFormat="1" ht="15" hidden="1">
      <c r="A98" s="944"/>
      <c r="B98" s="922"/>
      <c r="C98" s="769" t="s">
        <v>739</v>
      </c>
      <c r="D98" s="2503">
        <v>44866</v>
      </c>
      <c r="E98" s="2504"/>
      <c r="F98" s="2505"/>
      <c r="G98" s="2503">
        <v>44895</v>
      </c>
      <c r="H98" s="2504"/>
      <c r="I98" s="2505"/>
      <c r="J98" s="172">
        <f>G98-D98+1</f>
        <v>30</v>
      </c>
      <c r="K98" s="1283"/>
      <c r="L98" s="171"/>
      <c r="M98" s="770"/>
      <c r="N98" s="771"/>
      <c r="O98" s="182"/>
      <c r="P98" s="171"/>
      <c r="Q98" s="179"/>
      <c r="R98" s="88">
        <v>1</v>
      </c>
      <c r="S98" s="216" t="s">
        <v>711</v>
      </c>
      <c r="T98" s="772" t="s">
        <v>368</v>
      </c>
      <c r="U98" s="169" t="s">
        <v>710</v>
      </c>
      <c r="V98" s="870">
        <f t="shared" si="8"/>
        <v>0</v>
      </c>
      <c r="W98" s="26"/>
      <c r="X98" s="26"/>
      <c r="Y98" s="26"/>
      <c r="Z98" s="27"/>
      <c r="AA98" s="41"/>
      <c r="AB98" s="42"/>
    </row>
    <row r="99" spans="1:36" s="9" customFormat="1" ht="15" hidden="1">
      <c r="A99" s="944"/>
      <c r="B99" s="922"/>
      <c r="C99" s="769" t="s">
        <v>739</v>
      </c>
      <c r="D99" s="2418">
        <v>44896</v>
      </c>
      <c r="E99" s="2419"/>
      <c r="F99" s="2420"/>
      <c r="G99" s="2418">
        <v>44926</v>
      </c>
      <c r="H99" s="2419"/>
      <c r="I99" s="2420"/>
      <c r="J99" s="46">
        <v>31</v>
      </c>
      <c r="K99" s="47"/>
      <c r="L99" s="48"/>
      <c r="M99" s="49"/>
      <c r="N99" s="211"/>
      <c r="O99" s="50"/>
      <c r="P99" s="48"/>
      <c r="Q99" s="53"/>
      <c r="R99" s="168">
        <v>1</v>
      </c>
      <c r="S99" s="536" t="s">
        <v>711</v>
      </c>
      <c r="T99" s="90" t="s">
        <v>80</v>
      </c>
      <c r="U99" s="39" t="s">
        <v>710</v>
      </c>
      <c r="V99" s="870">
        <f t="shared" si="8"/>
        <v>0</v>
      </c>
      <c r="W99" s="26"/>
      <c r="X99" s="26"/>
      <c r="Y99" s="26"/>
      <c r="Z99" s="27"/>
      <c r="AA99" s="41"/>
      <c r="AB99" s="42"/>
    </row>
    <row r="100" spans="1:36" s="515" customFormat="1" ht="15" hidden="1">
      <c r="A100" s="510"/>
      <c r="B100" s="500"/>
      <c r="C100" s="769" t="s">
        <v>739</v>
      </c>
      <c r="D100" s="2418">
        <v>44927</v>
      </c>
      <c r="E100" s="2419"/>
      <c r="F100" s="2420"/>
      <c r="G100" s="2418">
        <v>44957</v>
      </c>
      <c r="H100" s="2419"/>
      <c r="I100" s="2420"/>
      <c r="J100" s="46">
        <v>31</v>
      </c>
      <c r="K100" s="47"/>
      <c r="L100" s="48"/>
      <c r="M100" s="49"/>
      <c r="N100" s="211"/>
      <c r="O100" s="50"/>
      <c r="P100" s="48"/>
      <c r="Q100" s="53"/>
      <c r="R100" s="168">
        <v>1</v>
      </c>
      <c r="S100" s="536" t="s">
        <v>711</v>
      </c>
      <c r="T100" s="90" t="s">
        <v>83</v>
      </c>
      <c r="U100" s="39" t="s">
        <v>710</v>
      </c>
      <c r="V100" s="870">
        <f>V104</f>
        <v>0</v>
      </c>
      <c r="W100" s="513"/>
      <c r="X100" s="513"/>
      <c r="Y100" s="513"/>
      <c r="Z100" s="514"/>
    </row>
    <row r="101" spans="1:36" s="515" customFormat="1" ht="15" hidden="1">
      <c r="A101" s="510"/>
      <c r="B101" s="1372"/>
      <c r="C101" s="769" t="s">
        <v>739</v>
      </c>
      <c r="D101" s="2418">
        <v>44958</v>
      </c>
      <c r="E101" s="2419"/>
      <c r="F101" s="2420"/>
      <c r="G101" s="2418">
        <v>44985</v>
      </c>
      <c r="H101" s="2419"/>
      <c r="I101" s="2420"/>
      <c r="J101" s="163">
        <v>28</v>
      </c>
      <c r="K101" s="909"/>
      <c r="L101" s="162"/>
      <c r="M101" s="1375"/>
      <c r="N101" s="1376"/>
      <c r="O101" s="1377"/>
      <c r="P101" s="162"/>
      <c r="Q101" s="1398"/>
      <c r="R101" s="1399">
        <v>1</v>
      </c>
      <c r="S101" s="536" t="s">
        <v>711</v>
      </c>
      <c r="T101" s="888" t="s">
        <v>85</v>
      </c>
      <c r="U101" s="1400" t="s">
        <v>710</v>
      </c>
      <c r="V101" s="870">
        <f>V104</f>
        <v>0</v>
      </c>
      <c r="W101" s="513"/>
      <c r="X101" s="513"/>
      <c r="Y101" s="513"/>
      <c r="Z101" s="514"/>
    </row>
    <row r="102" spans="1:36" s="8" customFormat="1" ht="15" hidden="1">
      <c r="A102" s="516"/>
      <c r="B102" s="924"/>
      <c r="C102" s="769" t="s">
        <v>739</v>
      </c>
      <c r="D102" s="2418">
        <v>44986</v>
      </c>
      <c r="E102" s="2419"/>
      <c r="F102" s="2420"/>
      <c r="G102" s="2418">
        <v>45016</v>
      </c>
      <c r="H102" s="2419"/>
      <c r="I102" s="2420"/>
      <c r="J102" s="163">
        <v>31</v>
      </c>
      <c r="K102" s="909"/>
      <c r="L102" s="162"/>
      <c r="M102" s="1375"/>
      <c r="N102" s="1376"/>
      <c r="O102" s="1377"/>
      <c r="P102" s="162"/>
      <c r="Q102" s="1398"/>
      <c r="R102" s="1399">
        <v>1</v>
      </c>
      <c r="S102" s="536" t="s">
        <v>711</v>
      </c>
      <c r="T102" s="888" t="s">
        <v>86</v>
      </c>
      <c r="U102" s="1400" t="s">
        <v>710</v>
      </c>
      <c r="V102" s="870">
        <f>V104</f>
        <v>0</v>
      </c>
      <c r="W102" s="938"/>
      <c r="X102" s="938"/>
      <c r="Y102" s="938"/>
      <c r="Z102" s="939"/>
    </row>
    <row r="103" spans="1:36" s="8" customFormat="1" ht="15" hidden="1">
      <c r="A103" s="516"/>
      <c r="B103" s="924"/>
      <c r="C103" s="769" t="s">
        <v>739</v>
      </c>
      <c r="D103" s="2418">
        <v>45017</v>
      </c>
      <c r="E103" s="2419"/>
      <c r="F103" s="2420"/>
      <c r="G103" s="2418">
        <v>45046</v>
      </c>
      <c r="H103" s="2419"/>
      <c r="I103" s="2420"/>
      <c r="J103" s="163">
        <v>30</v>
      </c>
      <c r="K103" s="909"/>
      <c r="L103" s="162"/>
      <c r="M103" s="1375"/>
      <c r="N103" s="1376"/>
      <c r="O103" s="1377"/>
      <c r="P103" s="162"/>
      <c r="Q103" s="1398"/>
      <c r="R103" s="1399">
        <v>1</v>
      </c>
      <c r="S103" s="536" t="s">
        <v>711</v>
      </c>
      <c r="T103" s="888" t="s">
        <v>87</v>
      </c>
      <c r="U103" s="1400" t="s">
        <v>710</v>
      </c>
      <c r="V103" s="870">
        <f>V104</f>
        <v>0</v>
      </c>
      <c r="W103" s="938"/>
      <c r="X103" s="938"/>
      <c r="Y103" s="938"/>
      <c r="Z103" s="939"/>
    </row>
    <row r="104" spans="1:36" s="8" customFormat="1" ht="15" hidden="1">
      <c r="A104" s="516"/>
      <c r="B104" s="59"/>
      <c r="C104" s="1093"/>
      <c r="D104" s="2506"/>
      <c r="E104" s="2507"/>
      <c r="F104" s="2508"/>
      <c r="G104" s="2506"/>
      <c r="H104" s="2507"/>
      <c r="I104" s="2508"/>
      <c r="J104" s="62"/>
      <c r="K104" s="63"/>
      <c r="L104" s="64"/>
      <c r="M104" s="65"/>
      <c r="N104" s="900"/>
      <c r="O104" s="66"/>
      <c r="P104" s="64"/>
      <c r="Q104" s="69"/>
      <c r="R104" s="903"/>
      <c r="S104" s="902"/>
      <c r="T104" s="733"/>
      <c r="U104" s="1043"/>
      <c r="V104" s="870">
        <f>V105</f>
        <v>0</v>
      </c>
      <c r="AB104" s="15"/>
    </row>
    <row r="105" spans="1:36" s="8" customFormat="1" ht="15.75" hidden="1">
      <c r="A105" s="516"/>
      <c r="B105" s="877"/>
      <c r="C105" s="912"/>
      <c r="D105" s="2475" t="s">
        <v>18</v>
      </c>
      <c r="E105" s="2460"/>
      <c r="F105" s="2460"/>
      <c r="G105" s="2460"/>
      <c r="H105" s="2460"/>
      <c r="I105" s="2476"/>
      <c r="J105" s="2484">
        <f>VLOOKUP(A107,'12 - FINANCEIRA'!_xlnm.Print_Area,6,FALSE)</f>
        <v>6</v>
      </c>
      <c r="K105" s="2485"/>
      <c r="L105" s="910" t="str">
        <f>VLOOKUP(A107,'12 - FINANCEIRA'!_xlnm.Print_Area,4,FALSE)</f>
        <v>mês</v>
      </c>
      <c r="M105" s="2486" t="s">
        <v>19</v>
      </c>
      <c r="N105" s="2465"/>
      <c r="O105" s="2465"/>
      <c r="P105" s="2465"/>
      <c r="Q105" s="2487"/>
      <c r="R105" s="1154">
        <f>SUM(R98:R104)</f>
        <v>6</v>
      </c>
      <c r="S105" s="905" t="str">
        <f>L105</f>
        <v>mês</v>
      </c>
      <c r="T105" s="680"/>
      <c r="U105" s="663"/>
      <c r="V105" s="870">
        <f t="shared" si="8"/>
        <v>0</v>
      </c>
      <c r="AB105" s="15"/>
    </row>
    <row r="106" spans="1:36" s="8" customFormat="1" ht="15.75" hidden="1">
      <c r="A106" s="516"/>
      <c r="B106" s="877"/>
      <c r="C106" s="681"/>
      <c r="D106" s="2444" t="s">
        <v>20</v>
      </c>
      <c r="E106" s="2445"/>
      <c r="F106" s="2445"/>
      <c r="G106" s="2445"/>
      <c r="H106" s="2445"/>
      <c r="I106" s="2446"/>
      <c r="J106" s="2450">
        <f>R105/J105</f>
        <v>1</v>
      </c>
      <c r="K106" s="2451"/>
      <c r="L106" s="2454"/>
      <c r="M106" s="2441" t="s">
        <v>21</v>
      </c>
      <c r="N106" s="2442"/>
      <c r="O106" s="2442"/>
      <c r="P106" s="2442"/>
      <c r="Q106" s="2443"/>
      <c r="R106" s="878">
        <f>VLOOKUP(A107,'12 - FINANCEIRA'!_xlnm.Print_Area,8,FALSE)</f>
        <v>6</v>
      </c>
      <c r="S106" s="879" t="str">
        <f>L105</f>
        <v>mês</v>
      </c>
      <c r="T106" s="680"/>
      <c r="U106" s="663"/>
      <c r="V106" s="870">
        <f t="shared" si="8"/>
        <v>0</v>
      </c>
      <c r="AB106" s="15"/>
    </row>
    <row r="107" spans="1:36" s="8" customFormat="1" ht="15.75" hidden="1">
      <c r="A107" s="510" t="s">
        <v>417</v>
      </c>
      <c r="B107" s="877"/>
      <c r="C107" s="113"/>
      <c r="D107" s="2447"/>
      <c r="E107" s="2448"/>
      <c r="F107" s="2448"/>
      <c r="G107" s="2448"/>
      <c r="H107" s="2448"/>
      <c r="I107" s="2449"/>
      <c r="J107" s="2452"/>
      <c r="K107" s="2453"/>
      <c r="L107" s="2455"/>
      <c r="M107" s="2456" t="s">
        <v>22</v>
      </c>
      <c r="N107" s="2457"/>
      <c r="O107" s="2457"/>
      <c r="P107" s="2457"/>
      <c r="Q107" s="2458"/>
      <c r="R107" s="521">
        <f>R105-R106</f>
        <v>0</v>
      </c>
      <c r="S107" s="522" t="str">
        <f>L105</f>
        <v>mês</v>
      </c>
      <c r="T107" s="680"/>
      <c r="U107" s="663"/>
      <c r="V107" s="870">
        <f>R107</f>
        <v>0</v>
      </c>
      <c r="AB107" s="15"/>
    </row>
    <row r="108" spans="1:36" s="8" customFormat="1" ht="15.75" hidden="1">
      <c r="A108" s="516"/>
      <c r="B108" s="523"/>
      <c r="C108" s="524"/>
      <c r="D108" s="526"/>
      <c r="E108" s="526"/>
      <c r="F108" s="526"/>
      <c r="G108" s="525"/>
      <c r="H108" s="525"/>
      <c r="I108" s="525"/>
      <c r="J108" s="527"/>
      <c r="K108" s="528"/>
      <c r="L108" s="529"/>
      <c r="M108" s="530"/>
      <c r="N108" s="530"/>
      <c r="O108" s="530"/>
      <c r="P108" s="530"/>
      <c r="Q108" s="530"/>
      <c r="R108" s="531"/>
      <c r="S108" s="532"/>
      <c r="T108" s="533"/>
      <c r="U108" s="534"/>
      <c r="V108" s="871">
        <f>SUM(V96:V107)</f>
        <v>0</v>
      </c>
      <c r="AB108" s="15"/>
    </row>
    <row r="109" spans="1:36" s="497" customFormat="1" ht="15.75" hidden="1">
      <c r="A109" s="495"/>
      <c r="B109" s="2423" t="str">
        <f>VLOOKUP(A120,'12 - FINANCEIRA'!_xlnm.Print_Area,1,FALSE)</f>
        <v>1.2.3</v>
      </c>
      <c r="C109" s="2421" t="str">
        <f>VLOOKUP(A120,'12 - FINANCEIRA'!_xlnm.Print_Area,3,FALSE)</f>
        <v>Aluguel mensal container sanitário, incl porta, básc, 2 ptos luz, 1 pto aterram., 3vasos, 3lavatórios, calha mictório, 6 chuveiros (1 eletrico), torn.,registros, piso comp. Naval pintado, cert NR18 e laudo descontaminação</v>
      </c>
      <c r="D109" s="2479" t="s">
        <v>57</v>
      </c>
      <c r="E109" s="2480"/>
      <c r="F109" s="2480"/>
      <c r="G109" s="2480"/>
      <c r="H109" s="2480"/>
      <c r="I109" s="2481"/>
      <c r="J109" s="2416" t="s">
        <v>66</v>
      </c>
      <c r="K109" s="2416" t="s">
        <v>102</v>
      </c>
      <c r="L109" s="2416" t="s">
        <v>103</v>
      </c>
      <c r="M109" s="2416" t="s">
        <v>228</v>
      </c>
      <c r="N109" s="2416" t="s">
        <v>229</v>
      </c>
      <c r="O109" s="2416" t="s">
        <v>107</v>
      </c>
      <c r="P109" s="496" t="s">
        <v>153</v>
      </c>
      <c r="Q109" s="2416" t="s">
        <v>2</v>
      </c>
      <c r="R109" s="2425" t="s">
        <v>2</v>
      </c>
      <c r="S109" s="2416" t="s">
        <v>99</v>
      </c>
      <c r="T109" s="2416" t="s">
        <v>17</v>
      </c>
      <c r="U109" s="2428" t="s">
        <v>362</v>
      </c>
      <c r="V109" s="870">
        <f t="shared" ref="V109:V119" si="9">V110</f>
        <v>0</v>
      </c>
      <c r="W109" s="26"/>
      <c r="X109" s="26"/>
      <c r="Y109" s="26"/>
      <c r="Z109" s="27"/>
      <c r="AA109" s="9"/>
      <c r="AB109" s="9"/>
      <c r="AC109" s="9"/>
      <c r="AD109" s="9"/>
      <c r="AE109" s="9"/>
      <c r="AF109" s="9"/>
      <c r="AG109" s="9"/>
      <c r="AH109" s="9"/>
      <c r="AI109" s="9"/>
      <c r="AJ109" s="9"/>
    </row>
    <row r="110" spans="1:36" s="497" customFormat="1" ht="27.75" hidden="1" customHeight="1">
      <c r="A110" s="495"/>
      <c r="B110" s="2471" t="e">
        <f>LEFT(#REF!,5)</f>
        <v>#REF!</v>
      </c>
      <c r="C110" s="2472" t="e">
        <f>VLOOKUP(LEFT(#REF!,5),'12 - FINANCEIRA'!_xlnm.Print_Area,2,FALSE)</f>
        <v>#REF!</v>
      </c>
      <c r="D110" s="2430" t="s">
        <v>14</v>
      </c>
      <c r="E110" s="2431"/>
      <c r="F110" s="2432"/>
      <c r="G110" s="2433" t="s">
        <v>15</v>
      </c>
      <c r="H110" s="2434"/>
      <c r="I110" s="2435"/>
      <c r="J110" s="2427"/>
      <c r="K110" s="2427"/>
      <c r="L110" s="2427"/>
      <c r="M110" s="2427"/>
      <c r="N110" s="2427"/>
      <c r="O110" s="2427"/>
      <c r="P110" s="498" t="s">
        <v>104</v>
      </c>
      <c r="Q110" s="2427"/>
      <c r="R110" s="2426"/>
      <c r="S110" s="2427"/>
      <c r="T110" s="2427"/>
      <c r="U110" s="2429"/>
      <c r="V110" s="870">
        <f t="shared" si="9"/>
        <v>0</v>
      </c>
      <c r="W110" s="26"/>
      <c r="X110" s="26"/>
      <c r="Y110" s="26"/>
      <c r="Z110" s="27"/>
      <c r="AA110" s="9"/>
      <c r="AB110" s="9"/>
      <c r="AC110" s="9"/>
      <c r="AD110" s="9"/>
      <c r="AE110" s="9"/>
      <c r="AF110" s="9"/>
      <c r="AG110" s="9"/>
      <c r="AH110" s="9"/>
      <c r="AI110" s="9"/>
      <c r="AJ110" s="9"/>
    </row>
    <row r="111" spans="1:36" s="9" customFormat="1" ht="15" hidden="1">
      <c r="A111" s="944"/>
      <c r="B111" s="922"/>
      <c r="C111" s="769" t="s">
        <v>740</v>
      </c>
      <c r="D111" s="2503">
        <v>44866</v>
      </c>
      <c r="E111" s="2504"/>
      <c r="F111" s="2505"/>
      <c r="G111" s="2503">
        <v>44895</v>
      </c>
      <c r="H111" s="2504"/>
      <c r="I111" s="2505"/>
      <c r="J111" s="46">
        <f>G111-D111+1</f>
        <v>30</v>
      </c>
      <c r="K111" s="47"/>
      <c r="L111" s="48"/>
      <c r="M111" s="49"/>
      <c r="N111" s="211"/>
      <c r="O111" s="50"/>
      <c r="P111" s="48"/>
      <c r="Q111" s="53"/>
      <c r="R111" s="535">
        <v>1</v>
      </c>
      <c r="S111" s="876" t="s">
        <v>711</v>
      </c>
      <c r="T111" s="90" t="s">
        <v>368</v>
      </c>
      <c r="U111" s="39" t="s">
        <v>710</v>
      </c>
      <c r="V111" s="870">
        <f t="shared" si="9"/>
        <v>0</v>
      </c>
      <c r="W111" s="26"/>
      <c r="X111" s="26"/>
      <c r="Y111" s="26"/>
      <c r="Z111" s="27"/>
      <c r="AA111" s="41"/>
      <c r="AB111" s="42"/>
    </row>
    <row r="112" spans="1:36" s="9" customFormat="1" ht="15" hidden="1">
      <c r="A112" s="944"/>
      <c r="B112" s="922"/>
      <c r="C112" s="769" t="s">
        <v>740</v>
      </c>
      <c r="D112" s="2418">
        <v>44896</v>
      </c>
      <c r="E112" s="2419"/>
      <c r="F112" s="2420"/>
      <c r="G112" s="2418">
        <v>44926</v>
      </c>
      <c r="H112" s="2419"/>
      <c r="I112" s="2420"/>
      <c r="J112" s="46">
        <v>31</v>
      </c>
      <c r="K112" s="47"/>
      <c r="L112" s="48"/>
      <c r="M112" s="49"/>
      <c r="N112" s="211"/>
      <c r="O112" s="50"/>
      <c r="P112" s="48"/>
      <c r="Q112" s="53"/>
      <c r="R112" s="168">
        <v>1</v>
      </c>
      <c r="S112" s="536" t="s">
        <v>711</v>
      </c>
      <c r="T112" s="90" t="s">
        <v>80</v>
      </c>
      <c r="U112" s="39" t="s">
        <v>710</v>
      </c>
      <c r="V112" s="870">
        <f t="shared" si="9"/>
        <v>0</v>
      </c>
      <c r="W112" s="26"/>
      <c r="X112" s="26"/>
      <c r="Y112" s="26"/>
      <c r="Z112" s="27"/>
      <c r="AA112" s="41"/>
      <c r="AB112" s="42"/>
    </row>
    <row r="113" spans="1:36" s="515" customFormat="1" ht="15" hidden="1">
      <c r="A113" s="510"/>
      <c r="B113" s="500"/>
      <c r="C113" s="769" t="s">
        <v>740</v>
      </c>
      <c r="D113" s="2418">
        <v>44927</v>
      </c>
      <c r="E113" s="2419"/>
      <c r="F113" s="2420"/>
      <c r="G113" s="2418" t="s">
        <v>876</v>
      </c>
      <c r="H113" s="2419"/>
      <c r="I113" s="2420"/>
      <c r="J113" s="46">
        <v>31</v>
      </c>
      <c r="K113" s="47"/>
      <c r="L113" s="48"/>
      <c r="M113" s="49"/>
      <c r="N113" s="211"/>
      <c r="O113" s="50"/>
      <c r="P113" s="48"/>
      <c r="Q113" s="53"/>
      <c r="R113" s="168">
        <v>1</v>
      </c>
      <c r="S113" s="536" t="s">
        <v>711</v>
      </c>
      <c r="T113" s="90" t="s">
        <v>83</v>
      </c>
      <c r="U113" s="39" t="s">
        <v>710</v>
      </c>
      <c r="V113" s="870">
        <f>V117</f>
        <v>0</v>
      </c>
      <c r="W113" s="513"/>
      <c r="X113" s="513"/>
      <c r="Y113" s="513"/>
      <c r="Z113" s="514"/>
    </row>
    <row r="114" spans="1:36" s="515" customFormat="1" ht="15" hidden="1">
      <c r="A114" s="510"/>
      <c r="B114" s="1372"/>
      <c r="C114" s="769" t="s">
        <v>740</v>
      </c>
      <c r="D114" s="2418">
        <v>44958</v>
      </c>
      <c r="E114" s="2419"/>
      <c r="F114" s="2420"/>
      <c r="G114" s="2418">
        <v>44985</v>
      </c>
      <c r="H114" s="2419"/>
      <c r="I114" s="2420"/>
      <c r="J114" s="163">
        <v>28</v>
      </c>
      <c r="K114" s="909"/>
      <c r="L114" s="162"/>
      <c r="M114" s="1375"/>
      <c r="N114" s="1376"/>
      <c r="O114" s="1377"/>
      <c r="P114" s="162"/>
      <c r="Q114" s="1398"/>
      <c r="R114" s="1399">
        <v>1</v>
      </c>
      <c r="S114" s="536" t="s">
        <v>711</v>
      </c>
      <c r="T114" s="888" t="s">
        <v>85</v>
      </c>
      <c r="U114" s="1400" t="s">
        <v>710</v>
      </c>
      <c r="V114" s="870">
        <f>V117</f>
        <v>0</v>
      </c>
      <c r="W114" s="513"/>
      <c r="X114" s="513"/>
      <c r="Y114" s="513"/>
      <c r="Z114" s="514"/>
    </row>
    <row r="115" spans="1:36" s="8" customFormat="1" ht="15" hidden="1">
      <c r="A115" s="516"/>
      <c r="B115" s="924"/>
      <c r="C115" s="769" t="s">
        <v>740</v>
      </c>
      <c r="D115" s="2418">
        <v>44986</v>
      </c>
      <c r="E115" s="2419"/>
      <c r="F115" s="2420"/>
      <c r="G115" s="2418">
        <v>45016</v>
      </c>
      <c r="H115" s="2419"/>
      <c r="I115" s="2420"/>
      <c r="J115" s="163">
        <v>31</v>
      </c>
      <c r="K115" s="909"/>
      <c r="L115" s="162"/>
      <c r="M115" s="1375"/>
      <c r="N115" s="1376"/>
      <c r="O115" s="1377"/>
      <c r="P115" s="162"/>
      <c r="Q115" s="1398"/>
      <c r="R115" s="1399">
        <v>1</v>
      </c>
      <c r="S115" s="536" t="s">
        <v>711</v>
      </c>
      <c r="T115" s="888" t="s">
        <v>86</v>
      </c>
      <c r="U115" s="1400" t="s">
        <v>710</v>
      </c>
      <c r="V115" s="870">
        <f>V117</f>
        <v>0</v>
      </c>
      <c r="W115" s="938"/>
      <c r="X115" s="938"/>
      <c r="Y115" s="938"/>
      <c r="Z115" s="939"/>
    </row>
    <row r="116" spans="1:36" s="8" customFormat="1" ht="15" hidden="1">
      <c r="A116" s="516"/>
      <c r="B116" s="924"/>
      <c r="C116" s="769" t="s">
        <v>740</v>
      </c>
      <c r="D116" s="2418">
        <v>45017</v>
      </c>
      <c r="E116" s="2419"/>
      <c r="F116" s="2420"/>
      <c r="G116" s="2418">
        <v>45046</v>
      </c>
      <c r="H116" s="2419"/>
      <c r="I116" s="2420"/>
      <c r="J116" s="163">
        <v>30</v>
      </c>
      <c r="K116" s="909"/>
      <c r="L116" s="162"/>
      <c r="M116" s="1375"/>
      <c r="N116" s="1376"/>
      <c r="O116" s="1377"/>
      <c r="P116" s="162"/>
      <c r="Q116" s="1398"/>
      <c r="R116" s="1399">
        <v>1</v>
      </c>
      <c r="S116" s="536" t="s">
        <v>711</v>
      </c>
      <c r="T116" s="888" t="s">
        <v>87</v>
      </c>
      <c r="U116" s="1400" t="s">
        <v>710</v>
      </c>
      <c r="V116" s="870">
        <f>V117</f>
        <v>0</v>
      </c>
      <c r="W116" s="938"/>
      <c r="X116" s="938"/>
      <c r="Y116" s="938"/>
      <c r="Z116" s="939"/>
    </row>
    <row r="117" spans="1:36" s="8" customFormat="1" ht="15" hidden="1">
      <c r="A117" s="516"/>
      <c r="B117" s="59"/>
      <c r="C117" s="1340"/>
      <c r="D117" s="2509"/>
      <c r="E117" s="2510"/>
      <c r="F117" s="2511"/>
      <c r="G117" s="2509"/>
      <c r="H117" s="2510"/>
      <c r="I117" s="2511"/>
      <c r="J117" s="1341"/>
      <c r="K117" s="1342"/>
      <c r="L117" s="1343"/>
      <c r="M117" s="1344"/>
      <c r="N117" s="1345"/>
      <c r="O117" s="1346"/>
      <c r="P117" s="1343"/>
      <c r="Q117" s="1347"/>
      <c r="R117" s="1348"/>
      <c r="S117" s="509"/>
      <c r="T117" s="960"/>
      <c r="U117" s="1349"/>
      <c r="V117" s="870">
        <f>V118</f>
        <v>0</v>
      </c>
      <c r="AB117" s="15"/>
    </row>
    <row r="118" spans="1:36" s="8" customFormat="1" ht="15.75" hidden="1">
      <c r="A118" s="516"/>
      <c r="B118" s="877"/>
      <c r="C118" s="537"/>
      <c r="D118" s="2436" t="s">
        <v>18</v>
      </c>
      <c r="E118" s="2437"/>
      <c r="F118" s="2437"/>
      <c r="G118" s="2437"/>
      <c r="H118" s="2437"/>
      <c r="I118" s="2438"/>
      <c r="J118" s="2439">
        <f>VLOOKUP(A120,'12 - FINANCEIRA'!_xlnm.Print_Area,6,FALSE)</f>
        <v>6</v>
      </c>
      <c r="K118" s="2440"/>
      <c r="L118" s="519" t="str">
        <f>VLOOKUP(A120,'12 - FINANCEIRA'!_xlnm.Print_Area,4,FALSE)</f>
        <v>mês</v>
      </c>
      <c r="M118" s="2441" t="s">
        <v>19</v>
      </c>
      <c r="N118" s="2442"/>
      <c r="O118" s="2442"/>
      <c r="P118" s="2442"/>
      <c r="Q118" s="2443"/>
      <c r="R118" s="878">
        <f>SUM(R111:R117)</f>
        <v>6</v>
      </c>
      <c r="S118" s="520" t="str">
        <f>L118</f>
        <v>mês</v>
      </c>
      <c r="T118" s="680"/>
      <c r="U118" s="663"/>
      <c r="V118" s="870">
        <f t="shared" si="9"/>
        <v>0</v>
      </c>
      <c r="AB118" s="15"/>
    </row>
    <row r="119" spans="1:36" s="8" customFormat="1" ht="15.75" hidden="1">
      <c r="A119" s="516"/>
      <c r="B119" s="877"/>
      <c r="C119" s="681"/>
      <c r="D119" s="2444" t="s">
        <v>20</v>
      </c>
      <c r="E119" s="2445"/>
      <c r="F119" s="2445"/>
      <c r="G119" s="2445"/>
      <c r="H119" s="2445"/>
      <c r="I119" s="2446"/>
      <c r="J119" s="2450">
        <f>R118/J118</f>
        <v>1</v>
      </c>
      <c r="K119" s="2451"/>
      <c r="L119" s="2454"/>
      <c r="M119" s="2441" t="s">
        <v>21</v>
      </c>
      <c r="N119" s="2442"/>
      <c r="O119" s="2442"/>
      <c r="P119" s="2442"/>
      <c r="Q119" s="2443"/>
      <c r="R119" s="878">
        <f>VLOOKUP(A120,'12 - FINANCEIRA'!_xlnm.Print_Area,8,FALSE)</f>
        <v>6</v>
      </c>
      <c r="S119" s="879" t="str">
        <f>L118</f>
        <v>mês</v>
      </c>
      <c r="T119" s="680"/>
      <c r="U119" s="663"/>
      <c r="V119" s="870">
        <f t="shared" si="9"/>
        <v>0</v>
      </c>
      <c r="AB119" s="15"/>
    </row>
    <row r="120" spans="1:36" s="8" customFormat="1" ht="15.75" hidden="1">
      <c r="A120" s="510" t="s">
        <v>431</v>
      </c>
      <c r="B120" s="877"/>
      <c r="C120" s="113"/>
      <c r="D120" s="2447"/>
      <c r="E120" s="2448"/>
      <c r="F120" s="2448"/>
      <c r="G120" s="2448"/>
      <c r="H120" s="2448"/>
      <c r="I120" s="2449"/>
      <c r="J120" s="2452"/>
      <c r="K120" s="2453"/>
      <c r="L120" s="2455"/>
      <c r="M120" s="2456" t="s">
        <v>22</v>
      </c>
      <c r="N120" s="2457"/>
      <c r="O120" s="2457"/>
      <c r="P120" s="2457"/>
      <c r="Q120" s="2458"/>
      <c r="R120" s="521">
        <f>R118-R119</f>
        <v>0</v>
      </c>
      <c r="S120" s="522" t="str">
        <f>L118</f>
        <v>mês</v>
      </c>
      <c r="T120" s="680"/>
      <c r="U120" s="663"/>
      <c r="V120" s="870">
        <f>R120</f>
        <v>0</v>
      </c>
      <c r="AB120" s="15"/>
    </row>
    <row r="121" spans="1:36" s="8" customFormat="1" ht="15.75" hidden="1">
      <c r="A121" s="516"/>
      <c r="B121" s="523"/>
      <c r="C121" s="524"/>
      <c r="D121" s="526"/>
      <c r="E121" s="526"/>
      <c r="F121" s="526"/>
      <c r="G121" s="525"/>
      <c r="H121" s="525"/>
      <c r="I121" s="525"/>
      <c r="J121" s="527"/>
      <c r="K121" s="528"/>
      <c r="L121" s="529"/>
      <c r="M121" s="530"/>
      <c r="N121" s="530"/>
      <c r="O121" s="530"/>
      <c r="P121" s="530"/>
      <c r="Q121" s="530"/>
      <c r="R121" s="531"/>
      <c r="S121" s="532"/>
      <c r="T121" s="533"/>
      <c r="U121" s="534"/>
      <c r="V121" s="871">
        <f>SUM(V109:V120)</f>
        <v>0</v>
      </c>
      <c r="AB121" s="15"/>
    </row>
    <row r="122" spans="1:36" s="497" customFormat="1" ht="15.75" hidden="1">
      <c r="A122" s="495"/>
      <c r="B122" s="2423" t="str">
        <f>VLOOKUP(A133,'12 - FINANCEIRA'!_xlnm.Print_Area,1,FALSE)</f>
        <v>1.2.4</v>
      </c>
      <c r="C122" s="2421" t="str">
        <f>VLOOKUP(A133,'12 - FINANCEIRA'!_xlnm.Print_Area,3,FALSE)</f>
        <v>Aluguel mensal container para escritório, dim. 6.00x2.40m, c/ banheiro (vaso+lavat+chuveiro e básc), incl. porta, 2 janelas, abert p/ ar cond., 2 pt iluminação, 2 tom. elét. e 1 tom.telef. Isolam.térmico(teto e paredes), piso em comp. Naval, cert. NR18, incl. laudo descontaminação.</v>
      </c>
      <c r="D122" s="2479" t="s">
        <v>57</v>
      </c>
      <c r="E122" s="2480"/>
      <c r="F122" s="2480"/>
      <c r="G122" s="2480"/>
      <c r="H122" s="2480"/>
      <c r="I122" s="2481"/>
      <c r="J122" s="2416" t="s">
        <v>66</v>
      </c>
      <c r="K122" s="2416" t="s">
        <v>102</v>
      </c>
      <c r="L122" s="2416" t="s">
        <v>103</v>
      </c>
      <c r="M122" s="2416" t="s">
        <v>228</v>
      </c>
      <c r="N122" s="2416" t="s">
        <v>229</v>
      </c>
      <c r="O122" s="2416" t="s">
        <v>107</v>
      </c>
      <c r="P122" s="496" t="s">
        <v>153</v>
      </c>
      <c r="Q122" s="2416" t="s">
        <v>2</v>
      </c>
      <c r="R122" s="2425" t="s">
        <v>2</v>
      </c>
      <c r="S122" s="2416" t="s">
        <v>99</v>
      </c>
      <c r="T122" s="2416" t="s">
        <v>17</v>
      </c>
      <c r="U122" s="2428" t="s">
        <v>362</v>
      </c>
      <c r="V122" s="870">
        <f t="shared" ref="V122:V132" si="10">V123</f>
        <v>0</v>
      </c>
      <c r="W122" s="26"/>
      <c r="X122" s="26"/>
      <c r="Y122" s="26"/>
      <c r="Z122" s="27"/>
      <c r="AA122" s="9"/>
      <c r="AB122" s="9"/>
      <c r="AC122" s="9"/>
      <c r="AD122" s="9"/>
      <c r="AE122" s="9"/>
      <c r="AF122" s="9"/>
      <c r="AG122" s="9"/>
      <c r="AH122" s="9"/>
      <c r="AI122" s="9"/>
      <c r="AJ122" s="9"/>
    </row>
    <row r="123" spans="1:36" s="497" customFormat="1" ht="15.75" hidden="1">
      <c r="A123" s="495"/>
      <c r="B123" s="2424" t="e">
        <f>LEFT(#REF!,5)</f>
        <v>#REF!</v>
      </c>
      <c r="C123" s="2422" t="e">
        <f>VLOOKUP(LEFT(#REF!,5),'12 - FINANCEIRA'!_xlnm.Print_Area,2,FALSE)</f>
        <v>#REF!</v>
      </c>
      <c r="D123" s="2430" t="s">
        <v>14</v>
      </c>
      <c r="E123" s="2431"/>
      <c r="F123" s="2432"/>
      <c r="G123" s="2433" t="s">
        <v>15</v>
      </c>
      <c r="H123" s="2434"/>
      <c r="I123" s="2435"/>
      <c r="J123" s="2417"/>
      <c r="K123" s="2417"/>
      <c r="L123" s="2417"/>
      <c r="M123" s="2417"/>
      <c r="N123" s="2417"/>
      <c r="O123" s="2417"/>
      <c r="P123" s="89" t="s">
        <v>104</v>
      </c>
      <c r="Q123" s="2417"/>
      <c r="R123" s="2473"/>
      <c r="S123" s="2417"/>
      <c r="T123" s="2417"/>
      <c r="U123" s="2474"/>
      <c r="V123" s="870">
        <f t="shared" si="10"/>
        <v>0</v>
      </c>
      <c r="W123" s="26"/>
      <c r="X123" s="26"/>
      <c r="Y123" s="26"/>
      <c r="Z123" s="27"/>
      <c r="AA123" s="9"/>
      <c r="AB123" s="9"/>
      <c r="AC123" s="9"/>
      <c r="AD123" s="9"/>
      <c r="AE123" s="9"/>
      <c r="AF123" s="9"/>
      <c r="AG123" s="9"/>
      <c r="AH123" s="9"/>
      <c r="AI123" s="9"/>
      <c r="AJ123" s="9"/>
    </row>
    <row r="124" spans="1:36" s="9" customFormat="1" ht="15" hidden="1">
      <c r="A124" s="944"/>
      <c r="B124" s="1479"/>
      <c r="C124" s="1487" t="s">
        <v>741</v>
      </c>
      <c r="D124" s="2548">
        <v>44866</v>
      </c>
      <c r="E124" s="2549"/>
      <c r="F124" s="2550"/>
      <c r="G124" s="2548">
        <v>44895</v>
      </c>
      <c r="H124" s="2549"/>
      <c r="I124" s="2550"/>
      <c r="J124" s="1488">
        <f>G124-D124+1</f>
        <v>30</v>
      </c>
      <c r="K124" s="1489"/>
      <c r="L124" s="1490"/>
      <c r="M124" s="1491"/>
      <c r="N124" s="1492"/>
      <c r="O124" s="1493"/>
      <c r="P124" s="1490"/>
      <c r="Q124" s="1286"/>
      <c r="R124" s="887">
        <v>1</v>
      </c>
      <c r="S124" s="1494" t="s">
        <v>711</v>
      </c>
      <c r="T124" s="1477" t="s">
        <v>368</v>
      </c>
      <c r="U124" s="1495" t="s">
        <v>710</v>
      </c>
      <c r="V124" s="870">
        <f t="shared" si="10"/>
        <v>0</v>
      </c>
      <c r="W124" s="26"/>
      <c r="X124" s="26"/>
      <c r="Y124" s="26"/>
      <c r="Z124" s="27"/>
      <c r="AA124" s="41"/>
      <c r="AB124" s="42"/>
    </row>
    <row r="125" spans="1:36" s="9" customFormat="1" ht="15" hidden="1">
      <c r="A125" s="944"/>
      <c r="B125" s="922"/>
      <c r="C125" s="769" t="s">
        <v>741</v>
      </c>
      <c r="D125" s="2418">
        <v>44896</v>
      </c>
      <c r="E125" s="2419"/>
      <c r="F125" s="2420"/>
      <c r="G125" s="2418">
        <v>44926</v>
      </c>
      <c r="H125" s="2419"/>
      <c r="I125" s="2420"/>
      <c r="J125" s="46">
        <v>31</v>
      </c>
      <c r="K125" s="47"/>
      <c r="L125" s="48"/>
      <c r="M125" s="49"/>
      <c r="N125" s="211"/>
      <c r="O125" s="50"/>
      <c r="P125" s="48"/>
      <c r="Q125" s="53"/>
      <c r="R125" s="168">
        <v>1</v>
      </c>
      <c r="S125" s="536" t="s">
        <v>711</v>
      </c>
      <c r="T125" s="90" t="s">
        <v>80</v>
      </c>
      <c r="U125" s="39" t="s">
        <v>710</v>
      </c>
      <c r="V125" s="870">
        <f t="shared" si="10"/>
        <v>0</v>
      </c>
      <c r="W125" s="26"/>
      <c r="X125" s="1339"/>
      <c r="Y125" s="26"/>
      <c r="Z125" s="27"/>
      <c r="AA125" s="41"/>
      <c r="AB125" s="42"/>
    </row>
    <row r="126" spans="1:36" s="729" customFormat="1" ht="15" hidden="1">
      <c r="A126" s="726"/>
      <c r="B126" s="718"/>
      <c r="C126" s="769" t="s">
        <v>741</v>
      </c>
      <c r="D126" s="2418">
        <v>44927</v>
      </c>
      <c r="E126" s="2419"/>
      <c r="F126" s="2420"/>
      <c r="G126" s="2418" t="s">
        <v>876</v>
      </c>
      <c r="H126" s="2419"/>
      <c r="I126" s="2420"/>
      <c r="J126" s="46">
        <v>31</v>
      </c>
      <c r="K126" s="47"/>
      <c r="L126" s="48"/>
      <c r="M126" s="49"/>
      <c r="N126" s="211"/>
      <c r="O126" s="50"/>
      <c r="P126" s="48"/>
      <c r="Q126" s="53"/>
      <c r="R126" s="168">
        <v>1</v>
      </c>
      <c r="S126" s="536" t="s">
        <v>711</v>
      </c>
      <c r="T126" s="90" t="s">
        <v>83</v>
      </c>
      <c r="U126" s="39" t="s">
        <v>710</v>
      </c>
      <c r="V126" s="836">
        <f>V130</f>
        <v>0</v>
      </c>
      <c r="W126" s="727"/>
      <c r="X126" s="727"/>
      <c r="Y126" s="727"/>
      <c r="Z126" s="728"/>
    </row>
    <row r="127" spans="1:36" s="729" customFormat="1" ht="15" hidden="1">
      <c r="A127" s="726"/>
      <c r="B127" s="1373"/>
      <c r="C127" s="769" t="s">
        <v>741</v>
      </c>
      <c r="D127" s="2418">
        <v>44958</v>
      </c>
      <c r="E127" s="2419"/>
      <c r="F127" s="2420"/>
      <c r="G127" s="2418">
        <v>44985</v>
      </c>
      <c r="H127" s="2419"/>
      <c r="I127" s="2420"/>
      <c r="J127" s="163">
        <v>28</v>
      </c>
      <c r="K127" s="909"/>
      <c r="L127" s="162"/>
      <c r="M127" s="1375"/>
      <c r="N127" s="1376"/>
      <c r="O127" s="1377"/>
      <c r="P127" s="162"/>
      <c r="Q127" s="1398"/>
      <c r="R127" s="1399">
        <v>1</v>
      </c>
      <c r="S127" s="536" t="s">
        <v>711</v>
      </c>
      <c r="T127" s="888" t="s">
        <v>85</v>
      </c>
      <c r="U127" s="1400" t="s">
        <v>710</v>
      </c>
      <c r="V127" s="870">
        <f>V130</f>
        <v>0</v>
      </c>
      <c r="W127" s="727"/>
      <c r="X127" s="727"/>
      <c r="Y127" s="727"/>
      <c r="Z127" s="728"/>
    </row>
    <row r="128" spans="1:36" s="8" customFormat="1" ht="15" hidden="1">
      <c r="A128" s="516"/>
      <c r="B128" s="924"/>
      <c r="C128" s="769" t="s">
        <v>741</v>
      </c>
      <c r="D128" s="2418">
        <v>44986</v>
      </c>
      <c r="E128" s="2419"/>
      <c r="F128" s="2420"/>
      <c r="G128" s="2418">
        <v>45016</v>
      </c>
      <c r="H128" s="2419"/>
      <c r="I128" s="2420"/>
      <c r="J128" s="163">
        <v>31</v>
      </c>
      <c r="K128" s="909"/>
      <c r="L128" s="162"/>
      <c r="M128" s="1375"/>
      <c r="N128" s="1376"/>
      <c r="O128" s="1377"/>
      <c r="P128" s="162"/>
      <c r="Q128" s="1398"/>
      <c r="R128" s="1399">
        <v>1</v>
      </c>
      <c r="S128" s="536" t="s">
        <v>711</v>
      </c>
      <c r="T128" s="888" t="s">
        <v>86</v>
      </c>
      <c r="U128" s="1400" t="s">
        <v>710</v>
      </c>
      <c r="V128" s="870">
        <f>V130</f>
        <v>0</v>
      </c>
      <c r="W128" s="938"/>
      <c r="X128" s="938"/>
      <c r="Y128" s="938"/>
      <c r="Z128" s="939"/>
    </row>
    <row r="129" spans="1:36" s="8" customFormat="1" ht="15" hidden="1">
      <c r="A129" s="516"/>
      <c r="B129" s="924"/>
      <c r="C129" s="769" t="s">
        <v>741</v>
      </c>
      <c r="D129" s="2418">
        <v>45017</v>
      </c>
      <c r="E129" s="2419"/>
      <c r="F129" s="2420"/>
      <c r="G129" s="2418">
        <v>45046</v>
      </c>
      <c r="H129" s="2419"/>
      <c r="I129" s="2420"/>
      <c r="J129" s="163">
        <v>30</v>
      </c>
      <c r="K129" s="909"/>
      <c r="L129" s="162"/>
      <c r="M129" s="1375"/>
      <c r="N129" s="1376"/>
      <c r="O129" s="1377"/>
      <c r="P129" s="162"/>
      <c r="Q129" s="1398"/>
      <c r="R129" s="1399">
        <v>1</v>
      </c>
      <c r="S129" s="536" t="s">
        <v>711</v>
      </c>
      <c r="T129" s="888" t="s">
        <v>87</v>
      </c>
      <c r="U129" s="1400" t="s">
        <v>710</v>
      </c>
      <c r="V129" s="870">
        <f>V130</f>
        <v>0</v>
      </c>
      <c r="W129" s="938"/>
      <c r="X129" s="938"/>
      <c r="Y129" s="938"/>
      <c r="Z129" s="939"/>
    </row>
    <row r="130" spans="1:36" s="8" customFormat="1" ht="15" hidden="1">
      <c r="A130" s="516"/>
      <c r="B130" s="59"/>
      <c r="C130" s="1093"/>
      <c r="D130" s="2506"/>
      <c r="E130" s="2507"/>
      <c r="F130" s="2508"/>
      <c r="G130" s="2506"/>
      <c r="H130" s="2507"/>
      <c r="I130" s="2508"/>
      <c r="J130" s="62"/>
      <c r="K130" s="63"/>
      <c r="L130" s="64"/>
      <c r="M130" s="65"/>
      <c r="N130" s="900"/>
      <c r="O130" s="66"/>
      <c r="P130" s="64"/>
      <c r="Q130" s="69"/>
      <c r="R130" s="903"/>
      <c r="S130" s="902"/>
      <c r="T130" s="733"/>
      <c r="U130" s="1043"/>
      <c r="V130" s="870">
        <f>V131</f>
        <v>0</v>
      </c>
      <c r="X130" s="796"/>
      <c r="AB130" s="15"/>
    </row>
    <row r="131" spans="1:36" s="8" customFormat="1" ht="15.75" hidden="1">
      <c r="A131" s="516"/>
      <c r="B131" s="877"/>
      <c r="C131" s="912"/>
      <c r="D131" s="2475" t="s">
        <v>18</v>
      </c>
      <c r="E131" s="2460"/>
      <c r="F131" s="2460"/>
      <c r="G131" s="2460"/>
      <c r="H131" s="2460"/>
      <c r="I131" s="2476"/>
      <c r="J131" s="2484">
        <f>VLOOKUP(A133,'12 - FINANCEIRA'!_xlnm.Print_Area,6,FALSE)</f>
        <v>6</v>
      </c>
      <c r="K131" s="2485"/>
      <c r="L131" s="910" t="str">
        <f>VLOOKUP(A133,'12 - FINANCEIRA'!_xlnm.Print_Area,4,FALSE)</f>
        <v>mês</v>
      </c>
      <c r="M131" s="2486" t="s">
        <v>19</v>
      </c>
      <c r="N131" s="2465"/>
      <c r="O131" s="2465"/>
      <c r="P131" s="2465"/>
      <c r="Q131" s="2487"/>
      <c r="R131" s="1154">
        <f>SUM(R124:R130)</f>
        <v>6</v>
      </c>
      <c r="S131" s="905" t="str">
        <f>L131</f>
        <v>mês</v>
      </c>
      <c r="T131" s="680"/>
      <c r="U131" s="663"/>
      <c r="V131" s="870">
        <f t="shared" si="10"/>
        <v>0</v>
      </c>
      <c r="AB131" s="15"/>
    </row>
    <row r="132" spans="1:36" s="8" customFormat="1" ht="15.75" hidden="1">
      <c r="A132" s="516"/>
      <c r="B132" s="877"/>
      <c r="C132" s="681"/>
      <c r="D132" s="2444" t="s">
        <v>20</v>
      </c>
      <c r="E132" s="2445"/>
      <c r="F132" s="2445"/>
      <c r="G132" s="2445"/>
      <c r="H132" s="2445"/>
      <c r="I132" s="2446"/>
      <c r="J132" s="2450">
        <f>R131/J131</f>
        <v>1</v>
      </c>
      <c r="K132" s="2451"/>
      <c r="L132" s="2454"/>
      <c r="M132" s="2441" t="s">
        <v>21</v>
      </c>
      <c r="N132" s="2442"/>
      <c r="O132" s="2442"/>
      <c r="P132" s="2442"/>
      <c r="Q132" s="2443"/>
      <c r="R132" s="878">
        <f>VLOOKUP(A133,'12 - FINANCEIRA'!_xlnm.Print_Area,8,FALSE)</f>
        <v>6</v>
      </c>
      <c r="S132" s="879" t="str">
        <f>L131</f>
        <v>mês</v>
      </c>
      <c r="T132" s="680"/>
      <c r="U132" s="663"/>
      <c r="V132" s="870">
        <f t="shared" si="10"/>
        <v>0</v>
      </c>
      <c r="AB132" s="15"/>
    </row>
    <row r="133" spans="1:36" s="8" customFormat="1" ht="15.75" hidden="1">
      <c r="A133" s="510" t="s">
        <v>432</v>
      </c>
      <c r="B133" s="877"/>
      <c r="C133" s="113"/>
      <c r="D133" s="2447"/>
      <c r="E133" s="2448"/>
      <c r="F133" s="2448"/>
      <c r="G133" s="2448"/>
      <c r="H133" s="2448"/>
      <c r="I133" s="2449"/>
      <c r="J133" s="2452"/>
      <c r="K133" s="2453"/>
      <c r="L133" s="2455"/>
      <c r="M133" s="2456" t="s">
        <v>22</v>
      </c>
      <c r="N133" s="2457"/>
      <c r="O133" s="2457"/>
      <c r="P133" s="2457"/>
      <c r="Q133" s="2458"/>
      <c r="R133" s="521">
        <f>R131-R132</f>
        <v>0</v>
      </c>
      <c r="S133" s="522" t="str">
        <f>L131</f>
        <v>mês</v>
      </c>
      <c r="T133" s="680"/>
      <c r="U133" s="663"/>
      <c r="V133" s="870">
        <f>R133</f>
        <v>0</v>
      </c>
      <c r="AB133" s="15"/>
    </row>
    <row r="134" spans="1:36" s="8" customFormat="1" ht="15.75" hidden="1">
      <c r="A134" s="516"/>
      <c r="B134" s="523"/>
      <c r="C134" s="524"/>
      <c r="D134" s="526"/>
      <c r="E134" s="526"/>
      <c r="F134" s="526"/>
      <c r="G134" s="525"/>
      <c r="H134" s="525"/>
      <c r="I134" s="525"/>
      <c r="J134" s="527"/>
      <c r="K134" s="528"/>
      <c r="L134" s="529"/>
      <c r="M134" s="530"/>
      <c r="N134" s="530"/>
      <c r="O134" s="530"/>
      <c r="P134" s="530"/>
      <c r="Q134" s="530"/>
      <c r="R134" s="531"/>
      <c r="S134" s="532"/>
      <c r="T134" s="533"/>
      <c r="U134" s="534"/>
      <c r="V134" s="871">
        <f>SUM(V122:V133)</f>
        <v>0</v>
      </c>
      <c r="AB134" s="15"/>
    </row>
    <row r="135" spans="1:36" s="497" customFormat="1" ht="15.75" hidden="1">
      <c r="A135" s="495"/>
      <c r="B135" s="2423" t="str">
        <f>VLOOKUP(A146,'12 - FINANCEIRA'!_xlnm.Print_Area,1,FALSE)</f>
        <v>1.2.5</v>
      </c>
      <c r="C135" s="2535" t="str">
        <f>VLOOKUP(A146,'12 - FINANCEIRA'!_xlnm.Print_Area,3,FALSE)</f>
        <v>Aluguel mensal container para almoxarifado, incl. porta, 2 janelas, 1 pt iluminação, Isolamento térmico (teto), piso em comp. Naval pintado, cert. NR18, incl. laudo descontaminação.</v>
      </c>
      <c r="D135" s="2537" t="s">
        <v>57</v>
      </c>
      <c r="E135" s="2538"/>
      <c r="F135" s="2538"/>
      <c r="G135" s="2538"/>
      <c r="H135" s="2538"/>
      <c r="I135" s="2539"/>
      <c r="J135" s="2540" t="s">
        <v>66</v>
      </c>
      <c r="K135" s="2540" t="s">
        <v>102</v>
      </c>
      <c r="L135" s="2540" t="s">
        <v>103</v>
      </c>
      <c r="M135" s="2540" t="s">
        <v>228</v>
      </c>
      <c r="N135" s="2540" t="s">
        <v>229</v>
      </c>
      <c r="O135" s="2540" t="s">
        <v>107</v>
      </c>
      <c r="P135" s="631" t="s">
        <v>153</v>
      </c>
      <c r="Q135" s="2540" t="s">
        <v>2</v>
      </c>
      <c r="R135" s="2563" t="s">
        <v>2</v>
      </c>
      <c r="S135" s="2540" t="s">
        <v>99</v>
      </c>
      <c r="T135" s="2540" t="s">
        <v>17</v>
      </c>
      <c r="U135" s="2428" t="s">
        <v>362</v>
      </c>
      <c r="V135" s="870">
        <f t="shared" ref="V135:V145" si="11">V136</f>
        <v>0</v>
      </c>
      <c r="W135" s="26"/>
      <c r="X135" s="26"/>
      <c r="Y135" s="26"/>
      <c r="Z135" s="27"/>
      <c r="AA135" s="9"/>
      <c r="AB135" s="9"/>
      <c r="AC135" s="9"/>
      <c r="AD135" s="9"/>
      <c r="AE135" s="9"/>
      <c r="AF135" s="9"/>
      <c r="AG135" s="9"/>
      <c r="AH135" s="9"/>
      <c r="AI135" s="9"/>
      <c r="AJ135" s="9"/>
    </row>
    <row r="136" spans="1:36" s="497" customFormat="1" ht="15.75" hidden="1">
      <c r="A136" s="495"/>
      <c r="B136" s="2471" t="e">
        <f>LEFT(#REF!,5)</f>
        <v>#REF!</v>
      </c>
      <c r="C136" s="2536" t="e">
        <f>VLOOKUP(LEFT(#REF!,5),'12 - FINANCEIRA'!_xlnm.Print_Area,2,FALSE)</f>
        <v>#REF!</v>
      </c>
      <c r="D136" s="2542" t="s">
        <v>14</v>
      </c>
      <c r="E136" s="2543"/>
      <c r="F136" s="2544"/>
      <c r="G136" s="2545" t="s">
        <v>15</v>
      </c>
      <c r="H136" s="2546"/>
      <c r="I136" s="2547"/>
      <c r="J136" s="2541"/>
      <c r="K136" s="2541"/>
      <c r="L136" s="2541"/>
      <c r="M136" s="2541"/>
      <c r="N136" s="2541"/>
      <c r="O136" s="2541"/>
      <c r="P136" s="632" t="s">
        <v>104</v>
      </c>
      <c r="Q136" s="2541"/>
      <c r="R136" s="2564"/>
      <c r="S136" s="2541"/>
      <c r="T136" s="2541"/>
      <c r="U136" s="2429"/>
      <c r="V136" s="870">
        <f t="shared" si="11"/>
        <v>0</v>
      </c>
      <c r="W136" s="26"/>
      <c r="X136" s="26"/>
      <c r="Y136" s="26"/>
      <c r="Z136" s="27"/>
      <c r="AA136" s="9"/>
      <c r="AB136" s="9"/>
      <c r="AC136" s="9"/>
      <c r="AD136" s="9"/>
      <c r="AE136" s="9"/>
      <c r="AF136" s="9"/>
      <c r="AG136" s="9"/>
      <c r="AH136" s="9"/>
      <c r="AI136" s="9"/>
      <c r="AJ136" s="9"/>
    </row>
    <row r="137" spans="1:36" s="9" customFormat="1" ht="15" hidden="1">
      <c r="A137" s="944"/>
      <c r="B137" s="922"/>
      <c r="C137" s="769" t="s">
        <v>742</v>
      </c>
      <c r="D137" s="2503">
        <v>44866</v>
      </c>
      <c r="E137" s="2504"/>
      <c r="F137" s="2505"/>
      <c r="G137" s="2503">
        <v>44895</v>
      </c>
      <c r="H137" s="2504"/>
      <c r="I137" s="2505"/>
      <c r="J137" s="46">
        <f>G137-D137+1</f>
        <v>30</v>
      </c>
      <c r="K137" s="47"/>
      <c r="L137" s="48"/>
      <c r="M137" s="49"/>
      <c r="N137" s="211"/>
      <c r="O137" s="50"/>
      <c r="P137" s="48"/>
      <c r="Q137" s="53"/>
      <c r="R137" s="535">
        <v>1</v>
      </c>
      <c r="S137" s="216" t="s">
        <v>711</v>
      </c>
      <c r="T137" s="90" t="s">
        <v>368</v>
      </c>
      <c r="U137" s="39" t="s">
        <v>710</v>
      </c>
      <c r="V137" s="870">
        <f t="shared" si="11"/>
        <v>0</v>
      </c>
      <c r="W137" s="26"/>
      <c r="X137" s="26"/>
      <c r="Y137" s="26"/>
      <c r="Z137" s="27"/>
      <c r="AA137" s="41"/>
      <c r="AB137" s="42"/>
    </row>
    <row r="138" spans="1:36" s="8" customFormat="1" ht="15" hidden="1">
      <c r="A138" s="516"/>
      <c r="B138" s="57"/>
      <c r="C138" s="769" t="s">
        <v>742</v>
      </c>
      <c r="D138" s="2418">
        <v>44896</v>
      </c>
      <c r="E138" s="2419"/>
      <c r="F138" s="2420"/>
      <c r="G138" s="2418">
        <v>44926</v>
      </c>
      <c r="H138" s="2419"/>
      <c r="I138" s="2420"/>
      <c r="J138" s="46">
        <v>31</v>
      </c>
      <c r="K138" s="47"/>
      <c r="L138" s="48"/>
      <c r="M138" s="49"/>
      <c r="N138" s="211"/>
      <c r="O138" s="50"/>
      <c r="P138" s="48"/>
      <c r="Q138" s="53"/>
      <c r="R138" s="168">
        <v>1</v>
      </c>
      <c r="S138" s="536" t="s">
        <v>711</v>
      </c>
      <c r="T138" s="90" t="s">
        <v>80</v>
      </c>
      <c r="U138" s="39" t="s">
        <v>710</v>
      </c>
      <c r="V138" s="870">
        <f t="shared" si="11"/>
        <v>0</v>
      </c>
      <c r="AB138" s="15"/>
    </row>
    <row r="139" spans="1:36" s="729" customFormat="1" ht="15" hidden="1">
      <c r="A139" s="726"/>
      <c r="B139" s="794"/>
      <c r="C139" s="769" t="s">
        <v>742</v>
      </c>
      <c r="D139" s="2418">
        <v>44927</v>
      </c>
      <c r="E139" s="2419"/>
      <c r="F139" s="2420"/>
      <c r="G139" s="2418" t="s">
        <v>876</v>
      </c>
      <c r="H139" s="2419"/>
      <c r="I139" s="2420"/>
      <c r="J139" s="46">
        <v>31</v>
      </c>
      <c r="K139" s="47"/>
      <c r="L139" s="48"/>
      <c r="M139" s="49"/>
      <c r="N139" s="211"/>
      <c r="O139" s="50"/>
      <c r="P139" s="48"/>
      <c r="Q139" s="53"/>
      <c r="R139" s="168">
        <v>1</v>
      </c>
      <c r="S139" s="536" t="s">
        <v>711</v>
      </c>
      <c r="T139" s="90" t="s">
        <v>83</v>
      </c>
      <c r="U139" s="39" t="s">
        <v>710</v>
      </c>
      <c r="V139" s="836">
        <f>V143</f>
        <v>0</v>
      </c>
      <c r="AB139" s="795"/>
    </row>
    <row r="140" spans="1:36" s="729" customFormat="1" ht="15" hidden="1">
      <c r="A140" s="726"/>
      <c r="B140" s="1374"/>
      <c r="C140" s="769" t="s">
        <v>742</v>
      </c>
      <c r="D140" s="2418">
        <v>44958</v>
      </c>
      <c r="E140" s="2419"/>
      <c r="F140" s="2420"/>
      <c r="G140" s="2418">
        <v>44985</v>
      </c>
      <c r="H140" s="2419"/>
      <c r="I140" s="2420"/>
      <c r="J140" s="163">
        <v>28</v>
      </c>
      <c r="K140" s="909"/>
      <c r="L140" s="162"/>
      <c r="M140" s="1375"/>
      <c r="N140" s="1376"/>
      <c r="O140" s="1377"/>
      <c r="P140" s="162"/>
      <c r="Q140" s="1398"/>
      <c r="R140" s="1399">
        <v>1</v>
      </c>
      <c r="S140" s="536" t="s">
        <v>711</v>
      </c>
      <c r="T140" s="888" t="s">
        <v>85</v>
      </c>
      <c r="U140" s="1400" t="s">
        <v>710</v>
      </c>
      <c r="V140" s="836">
        <f>V143</f>
        <v>0</v>
      </c>
      <c r="AB140" s="795"/>
    </row>
    <row r="141" spans="1:36" s="8" customFormat="1" ht="15" hidden="1">
      <c r="A141" s="516"/>
      <c r="B141" s="1319"/>
      <c r="C141" s="769" t="s">
        <v>742</v>
      </c>
      <c r="D141" s="2418">
        <v>44986</v>
      </c>
      <c r="E141" s="2419"/>
      <c r="F141" s="2420"/>
      <c r="G141" s="2418">
        <v>45016</v>
      </c>
      <c r="H141" s="2419"/>
      <c r="I141" s="2420"/>
      <c r="J141" s="163">
        <v>31</v>
      </c>
      <c r="K141" s="909"/>
      <c r="L141" s="162"/>
      <c r="M141" s="1375"/>
      <c r="N141" s="1376"/>
      <c r="O141" s="1377"/>
      <c r="P141" s="162"/>
      <c r="Q141" s="1398"/>
      <c r="R141" s="1399">
        <v>1</v>
      </c>
      <c r="S141" s="536" t="s">
        <v>711</v>
      </c>
      <c r="T141" s="888" t="s">
        <v>86</v>
      </c>
      <c r="U141" s="1400" t="s">
        <v>710</v>
      </c>
      <c r="V141" s="870">
        <f>V143</f>
        <v>0</v>
      </c>
      <c r="AB141" s="15"/>
    </row>
    <row r="142" spans="1:36" s="8" customFormat="1" ht="15" hidden="1">
      <c r="A142" s="516"/>
      <c r="B142" s="1319"/>
      <c r="C142" s="769" t="s">
        <v>742</v>
      </c>
      <c r="D142" s="2418">
        <v>45017</v>
      </c>
      <c r="E142" s="2419"/>
      <c r="F142" s="2420"/>
      <c r="G142" s="2418">
        <v>45046</v>
      </c>
      <c r="H142" s="2419"/>
      <c r="I142" s="2420"/>
      <c r="J142" s="163">
        <v>30</v>
      </c>
      <c r="K142" s="909"/>
      <c r="L142" s="162"/>
      <c r="M142" s="1375"/>
      <c r="N142" s="1376"/>
      <c r="O142" s="1377"/>
      <c r="P142" s="162"/>
      <c r="Q142" s="1398"/>
      <c r="R142" s="1399">
        <v>1</v>
      </c>
      <c r="S142" s="536" t="s">
        <v>711</v>
      </c>
      <c r="T142" s="888" t="s">
        <v>87</v>
      </c>
      <c r="U142" s="1400" t="s">
        <v>710</v>
      </c>
      <c r="V142" s="870">
        <f t="shared" si="11"/>
        <v>0</v>
      </c>
      <c r="AB142" s="15"/>
    </row>
    <row r="143" spans="1:36" s="729" customFormat="1" ht="15" hidden="1">
      <c r="A143" s="726"/>
      <c r="B143" s="1002"/>
      <c r="C143" s="1016"/>
      <c r="D143" s="2512"/>
      <c r="E143" s="2513"/>
      <c r="F143" s="2514"/>
      <c r="G143" s="2512"/>
      <c r="H143" s="2513"/>
      <c r="I143" s="2514"/>
      <c r="J143" s="1007"/>
      <c r="K143" s="1008"/>
      <c r="L143" s="1009"/>
      <c r="M143" s="1010"/>
      <c r="N143" s="1011"/>
      <c r="O143" s="1012"/>
      <c r="P143" s="1009"/>
      <c r="Q143" s="1017"/>
      <c r="R143" s="615"/>
      <c r="S143" s="1014"/>
      <c r="T143" s="1015"/>
      <c r="U143" s="1018"/>
      <c r="V143" s="836">
        <f t="shared" si="11"/>
        <v>0</v>
      </c>
      <c r="AB143" s="795"/>
    </row>
    <row r="144" spans="1:36" s="8" customFormat="1" ht="15.75" hidden="1">
      <c r="A144" s="516"/>
      <c r="B144" s="877"/>
      <c r="C144" s="774"/>
      <c r="D144" s="2518" t="s">
        <v>18</v>
      </c>
      <c r="E144" s="2519"/>
      <c r="F144" s="2519"/>
      <c r="G144" s="2519"/>
      <c r="H144" s="2519"/>
      <c r="I144" s="2520"/>
      <c r="J144" s="2530">
        <f>VLOOKUP(A146,'12 - FINANCEIRA'!_xlnm.Print_Area,6,FALSE)</f>
        <v>6</v>
      </c>
      <c r="K144" s="2531"/>
      <c r="L144" s="730" t="str">
        <f>VLOOKUP(A146,'12 - FINANCEIRA'!_xlnm.Print_Area,4,FALSE)</f>
        <v>mês</v>
      </c>
      <c r="M144" s="2532" t="s">
        <v>19</v>
      </c>
      <c r="N144" s="2533"/>
      <c r="O144" s="2533"/>
      <c r="P144" s="2533"/>
      <c r="Q144" s="2534"/>
      <c r="R144" s="731">
        <f>SUM(R137:R143)</f>
        <v>6</v>
      </c>
      <c r="S144" s="732" t="str">
        <f>L144</f>
        <v>mês</v>
      </c>
      <c r="T144" s="674"/>
      <c r="U144" s="663"/>
      <c r="V144" s="870">
        <f t="shared" si="11"/>
        <v>0</v>
      </c>
      <c r="AB144" s="15"/>
    </row>
    <row r="145" spans="1:36" s="8" customFormat="1" ht="15.75" hidden="1">
      <c r="A145" s="516"/>
      <c r="B145" s="877"/>
      <c r="C145" s="675"/>
      <c r="D145" s="2515" t="s">
        <v>20</v>
      </c>
      <c r="E145" s="2516"/>
      <c r="F145" s="2516"/>
      <c r="G145" s="2516"/>
      <c r="H145" s="2516"/>
      <c r="I145" s="2517"/>
      <c r="J145" s="2521">
        <f>R144/J144</f>
        <v>1</v>
      </c>
      <c r="K145" s="2522"/>
      <c r="L145" s="2525"/>
      <c r="M145" s="2527" t="s">
        <v>21</v>
      </c>
      <c r="N145" s="2528"/>
      <c r="O145" s="2528"/>
      <c r="P145" s="2528"/>
      <c r="Q145" s="2529"/>
      <c r="R145" s="834">
        <f>VLOOKUP(A146,'12 - FINANCEIRA'!_xlnm.Print_Area,8,FALSE)</f>
        <v>6</v>
      </c>
      <c r="S145" s="835" t="str">
        <f>L144</f>
        <v>mês</v>
      </c>
      <c r="T145" s="674"/>
      <c r="U145" s="663"/>
      <c r="V145" s="870">
        <f t="shared" si="11"/>
        <v>0</v>
      </c>
      <c r="AB145" s="15"/>
    </row>
    <row r="146" spans="1:36" s="8" customFormat="1" ht="15.75" hidden="1">
      <c r="A146" s="510" t="s">
        <v>433</v>
      </c>
      <c r="B146" s="880"/>
      <c r="C146" s="676"/>
      <c r="D146" s="2518"/>
      <c r="E146" s="2519"/>
      <c r="F146" s="2519"/>
      <c r="G146" s="2519"/>
      <c r="H146" s="2519"/>
      <c r="I146" s="2520"/>
      <c r="J146" s="2523"/>
      <c r="K146" s="2524"/>
      <c r="L146" s="2526"/>
      <c r="M146" s="2527" t="s">
        <v>22</v>
      </c>
      <c r="N146" s="2528"/>
      <c r="O146" s="2528"/>
      <c r="P146" s="2528"/>
      <c r="Q146" s="2529"/>
      <c r="R146" s="834">
        <f>R144-R145</f>
        <v>0</v>
      </c>
      <c r="S146" s="835" t="str">
        <f>L144</f>
        <v>mês</v>
      </c>
      <c r="T146" s="677"/>
      <c r="U146" s="881"/>
      <c r="V146" s="870">
        <f>R146</f>
        <v>0</v>
      </c>
      <c r="AB146" s="15"/>
    </row>
    <row r="147" spans="1:36" s="8" customFormat="1" ht="15.75" hidden="1">
      <c r="A147" s="516"/>
      <c r="B147" s="523"/>
      <c r="C147" s="621"/>
      <c r="D147" s="623"/>
      <c r="E147" s="623"/>
      <c r="F147" s="623"/>
      <c r="G147" s="622"/>
      <c r="H147" s="622"/>
      <c r="I147" s="622"/>
      <c r="J147" s="624"/>
      <c r="K147" s="625"/>
      <c r="L147" s="626"/>
      <c r="M147" s="627"/>
      <c r="N147" s="627"/>
      <c r="O147" s="627"/>
      <c r="P147" s="627"/>
      <c r="Q147" s="627"/>
      <c r="R147" s="628"/>
      <c r="S147" s="629"/>
      <c r="T147" s="630"/>
      <c r="U147" s="534"/>
      <c r="V147" s="871">
        <f>SUM(V135:V146)</f>
        <v>0</v>
      </c>
      <c r="AB147" s="15"/>
    </row>
    <row r="148" spans="1:36" ht="15.75" hidden="1">
      <c r="A148" s="942"/>
      <c r="B148" s="482">
        <v>2</v>
      </c>
      <c r="C148" s="483" t="str">
        <f>VLOOKUP(B148,'12 - FINANCEIRA'!_xlnm.Print_Area,2,FALSE)</f>
        <v>GALERIA GUARANHUNS 1 E 2</v>
      </c>
      <c r="D148" s="484"/>
      <c r="E148" s="484"/>
      <c r="F148" s="484"/>
      <c r="G148" s="2551"/>
      <c r="H148" s="2552"/>
      <c r="I148" s="2552"/>
      <c r="J148" s="2552"/>
      <c r="K148" s="2552"/>
      <c r="L148" s="2552"/>
      <c r="M148" s="485"/>
      <c r="N148" s="486"/>
      <c r="O148" s="486"/>
      <c r="P148" s="486"/>
      <c r="Q148" s="486"/>
      <c r="R148" s="486"/>
      <c r="S148" s="486"/>
      <c r="T148" s="486"/>
      <c r="U148" s="682"/>
      <c r="V148" s="538">
        <f>SUM(V149:V614)</f>
        <v>1083272.5920000025</v>
      </c>
    </row>
    <row r="149" spans="1:36" s="494" customFormat="1" ht="15.75">
      <c r="A149" s="943"/>
      <c r="B149" s="489" t="s">
        <v>380</v>
      </c>
      <c r="C149" s="490" t="str">
        <f>VLOOKUP(B149,'12 - FINANCEIRA'!_xlnm.Print_Area,2,FALSE)</f>
        <v>TERRAPLANAGEM E PAVIMENTAÇÃO</v>
      </c>
      <c r="D149" s="491"/>
      <c r="E149" s="491"/>
      <c r="F149" s="491"/>
      <c r="G149" s="2492"/>
      <c r="H149" s="2493"/>
      <c r="I149" s="2493"/>
      <c r="J149" s="2493"/>
      <c r="K149" s="2493"/>
      <c r="L149" s="2493"/>
      <c r="M149" s="492"/>
      <c r="N149" s="493"/>
      <c r="O149" s="2493"/>
      <c r="P149" s="2493"/>
      <c r="Q149" s="2493"/>
      <c r="R149" s="2493"/>
      <c r="S149" s="892"/>
      <c r="T149" s="906"/>
      <c r="U149" s="907"/>
      <c r="V149" s="487">
        <f>SUM(V150:V269)</f>
        <v>464388.56999999989</v>
      </c>
    </row>
    <row r="150" spans="1:36" s="497" customFormat="1" ht="15.75">
      <c r="A150" s="495"/>
      <c r="B150" s="2423" t="str">
        <f>VLOOKUP(A158,'12 - FINANCEIRA'!_xlnm.Print_Area,1,FALSE)</f>
        <v>2.1.1</v>
      </c>
      <c r="C150" s="2421" t="str">
        <f>VLOOKUP(A158,'12 - FINANCEIRA'!_xlnm.Print_Area,3,FALSE)</f>
        <v>Escavação mecânica de vala em material de 1ª categoria</v>
      </c>
      <c r="D150" s="2479" t="s">
        <v>97</v>
      </c>
      <c r="E150" s="2480"/>
      <c r="F150" s="2480"/>
      <c r="G150" s="2480"/>
      <c r="H150" s="2480"/>
      <c r="I150" s="2481"/>
      <c r="J150" s="2416" t="s">
        <v>98</v>
      </c>
      <c r="K150" s="2416" t="s">
        <v>102</v>
      </c>
      <c r="L150" s="2416" t="s">
        <v>103</v>
      </c>
      <c r="M150" s="2416" t="s">
        <v>228</v>
      </c>
      <c r="N150" s="2416" t="s">
        <v>229</v>
      </c>
      <c r="O150" s="2416" t="s">
        <v>107</v>
      </c>
      <c r="P150" s="496" t="s">
        <v>153</v>
      </c>
      <c r="Q150" s="2416" t="s">
        <v>16</v>
      </c>
      <c r="R150" s="2425" t="s">
        <v>2</v>
      </c>
      <c r="S150" s="2416" t="s">
        <v>99</v>
      </c>
      <c r="T150" s="2416" t="s">
        <v>17</v>
      </c>
      <c r="U150" s="2428" t="s">
        <v>362</v>
      </c>
      <c r="V150" s="1314">
        <f t="shared" ref="V150:V156" si="12">V151</f>
        <v>1780.442</v>
      </c>
      <c r="W150" s="26"/>
      <c r="X150" s="26"/>
      <c r="Y150" s="26"/>
      <c r="Z150" s="27"/>
      <c r="AA150" s="9"/>
      <c r="AB150" s="9"/>
      <c r="AC150" s="9"/>
      <c r="AD150" s="9"/>
      <c r="AE150" s="9"/>
      <c r="AF150" s="9"/>
      <c r="AG150" s="9"/>
      <c r="AH150" s="9"/>
      <c r="AI150" s="9"/>
      <c r="AJ150" s="9"/>
    </row>
    <row r="151" spans="1:36" s="497" customFormat="1" ht="15.75">
      <c r="A151" s="495"/>
      <c r="B151" s="2471" t="e">
        <f>LEFT(#REF!,5)</f>
        <v>#REF!</v>
      </c>
      <c r="C151" s="2472" t="e">
        <f>VLOOKUP(LEFT(#REF!,5),'12 - FINANCEIRA'!_xlnm.Print_Area,2,FALSE)</f>
        <v>#REF!</v>
      </c>
      <c r="D151" s="2430" t="s">
        <v>14</v>
      </c>
      <c r="E151" s="2431"/>
      <c r="F151" s="2432"/>
      <c r="G151" s="2433" t="s">
        <v>15</v>
      </c>
      <c r="H151" s="2434"/>
      <c r="I151" s="2435"/>
      <c r="J151" s="2427"/>
      <c r="K151" s="2427"/>
      <c r="L151" s="2427"/>
      <c r="M151" s="2427"/>
      <c r="N151" s="2427"/>
      <c r="O151" s="2427"/>
      <c r="P151" s="498" t="s">
        <v>104</v>
      </c>
      <c r="Q151" s="2427"/>
      <c r="R151" s="2426"/>
      <c r="S151" s="2427"/>
      <c r="T151" s="2427"/>
      <c r="U151" s="2429"/>
      <c r="V151" s="1314">
        <f t="shared" si="12"/>
        <v>1780.442</v>
      </c>
      <c r="W151" s="26"/>
      <c r="X151" s="26"/>
      <c r="Y151" s="26"/>
      <c r="Z151" s="27"/>
      <c r="AA151" s="9"/>
      <c r="AB151" s="9"/>
      <c r="AC151" s="9"/>
      <c r="AD151" s="9"/>
      <c r="AE151" s="9"/>
      <c r="AF151" s="9"/>
      <c r="AG151" s="9"/>
      <c r="AH151" s="9"/>
      <c r="AI151" s="9"/>
      <c r="AJ151" s="9"/>
    </row>
    <row r="152" spans="1:36" s="9" customFormat="1" ht="45">
      <c r="A152" s="944"/>
      <c r="B152" s="921"/>
      <c r="C152" s="1882" t="s">
        <v>744</v>
      </c>
      <c r="D152" s="962">
        <v>100</v>
      </c>
      <c r="E152" s="963" t="s">
        <v>68</v>
      </c>
      <c r="F152" s="964">
        <v>0</v>
      </c>
      <c r="G152" s="965">
        <v>113</v>
      </c>
      <c r="H152" s="963" t="s">
        <v>68</v>
      </c>
      <c r="I152" s="966">
        <v>17</v>
      </c>
      <c r="J152" s="1883" t="s">
        <v>105</v>
      </c>
      <c r="K152" s="1884">
        <f>(G152-D152)*20+I152-F152</f>
        <v>277</v>
      </c>
      <c r="L152" s="1885"/>
      <c r="M152" s="1886"/>
      <c r="N152" s="1887"/>
      <c r="O152" s="1888"/>
      <c r="P152" s="1885"/>
      <c r="Q152" s="1889"/>
      <c r="R152" s="1890">
        <v>2326.0830000000001</v>
      </c>
      <c r="S152" s="1891" t="s">
        <v>5</v>
      </c>
      <c r="T152" s="1892" t="s">
        <v>90</v>
      </c>
      <c r="U152" s="1893" t="s">
        <v>908</v>
      </c>
      <c r="V152" s="1314">
        <f t="shared" si="12"/>
        <v>1780.442</v>
      </c>
      <c r="W152" s="26"/>
      <c r="X152" s="26"/>
      <c r="Y152" s="26"/>
      <c r="Z152" s="27"/>
      <c r="AA152" s="41"/>
      <c r="AB152" s="42"/>
    </row>
    <row r="153" spans="1:36" s="9" customFormat="1" ht="48" customHeight="1">
      <c r="A153" s="944"/>
      <c r="B153" s="922"/>
      <c r="C153" s="1402" t="s">
        <v>877</v>
      </c>
      <c r="D153" s="962">
        <v>0</v>
      </c>
      <c r="E153" s="963" t="s">
        <v>68</v>
      </c>
      <c r="F153" s="964">
        <v>0</v>
      </c>
      <c r="G153" s="965">
        <v>17</v>
      </c>
      <c r="H153" s="963" t="s">
        <v>68</v>
      </c>
      <c r="I153" s="966">
        <v>2</v>
      </c>
      <c r="J153" s="1403" t="s">
        <v>105</v>
      </c>
      <c r="K153" s="1404">
        <f>(G153-D153)*20+I153-F153</f>
        <v>342</v>
      </c>
      <c r="L153" s="1405"/>
      <c r="M153" s="1406"/>
      <c r="N153" s="1407"/>
      <c r="O153" s="1408"/>
      <c r="P153" s="1409"/>
      <c r="Q153" s="1410"/>
      <c r="R153" s="1411">
        <v>3743.0279999999998</v>
      </c>
      <c r="S153" s="1412" t="s">
        <v>5</v>
      </c>
      <c r="T153" s="1413" t="s">
        <v>90</v>
      </c>
      <c r="U153" s="1414" t="s">
        <v>1091</v>
      </c>
      <c r="V153" s="1314">
        <f t="shared" si="12"/>
        <v>1780.442</v>
      </c>
      <c r="W153" s="26"/>
      <c r="X153" s="26"/>
      <c r="Y153" s="26"/>
      <c r="Z153" s="27"/>
      <c r="AA153" s="41"/>
      <c r="AB153" s="42"/>
    </row>
    <row r="154" spans="1:36" s="8" customFormat="1" ht="24.75" customHeight="1">
      <c r="A154" s="516"/>
      <c r="B154" s="922"/>
      <c r="C154" s="1402"/>
      <c r="D154" s="962"/>
      <c r="E154" s="963"/>
      <c r="F154" s="964"/>
      <c r="G154" s="965"/>
      <c r="H154" s="963"/>
      <c r="I154" s="966"/>
      <c r="J154" s="1403"/>
      <c r="K154" s="1404"/>
      <c r="L154" s="1405"/>
      <c r="M154" s="1406"/>
      <c r="N154" s="1407"/>
      <c r="O154" s="1408"/>
      <c r="P154" s="1409"/>
      <c r="Q154" s="1410"/>
      <c r="R154" s="1411"/>
      <c r="S154" s="1412"/>
      <c r="T154" s="1413"/>
      <c r="U154" s="1414"/>
      <c r="V154" s="1314">
        <f t="shared" si="12"/>
        <v>1780.442</v>
      </c>
      <c r="W154" s="938"/>
      <c r="X154" s="938"/>
      <c r="Y154" s="938"/>
      <c r="Z154" s="939"/>
    </row>
    <row r="155" spans="1:36" s="8" customFormat="1" ht="15">
      <c r="A155" s="516"/>
      <c r="B155" s="59"/>
      <c r="C155" s="60"/>
      <c r="D155" s="82"/>
      <c r="E155" s="44"/>
      <c r="F155" s="83"/>
      <c r="G155" s="43"/>
      <c r="H155" s="44"/>
      <c r="I155" s="45"/>
      <c r="J155" s="46"/>
      <c r="K155" s="47"/>
      <c r="L155" s="48"/>
      <c r="M155" s="49"/>
      <c r="N155" s="50"/>
      <c r="O155" s="50"/>
      <c r="P155" s="48"/>
      <c r="Q155" s="53"/>
      <c r="R155" s="517"/>
      <c r="S155" s="54"/>
      <c r="T155" s="518"/>
      <c r="U155" s="71"/>
      <c r="V155" s="1314">
        <f t="shared" si="12"/>
        <v>1780.442</v>
      </c>
      <c r="AB155" s="15"/>
    </row>
    <row r="156" spans="1:36" s="8" customFormat="1" ht="15.75">
      <c r="A156" s="516"/>
      <c r="B156" s="877"/>
      <c r="C156" s="113"/>
      <c r="D156" s="2436" t="s">
        <v>18</v>
      </c>
      <c r="E156" s="2437"/>
      <c r="F156" s="2437"/>
      <c r="G156" s="2437"/>
      <c r="H156" s="2437"/>
      <c r="I156" s="2438"/>
      <c r="J156" s="2439">
        <f>VLOOKUP(A158,'12 - FINANCEIRA'!_xlnm.Print_Area,6,FALSE)</f>
        <v>6496.78</v>
      </c>
      <c r="K156" s="2440"/>
      <c r="L156" s="519" t="str">
        <f>VLOOKUP(A158,'12 - FINANCEIRA'!_xlnm.Print_Area,4,FALSE)</f>
        <v>m³</v>
      </c>
      <c r="M156" s="2441" t="s">
        <v>19</v>
      </c>
      <c r="N156" s="2442"/>
      <c r="O156" s="2442"/>
      <c r="P156" s="2442"/>
      <c r="Q156" s="2443"/>
      <c r="R156" s="878">
        <f>SUM(R152:R155)</f>
        <v>6069.1109999999999</v>
      </c>
      <c r="S156" s="520" t="str">
        <f>L156</f>
        <v>m³</v>
      </c>
      <c r="T156" s="680"/>
      <c r="U156" s="663"/>
      <c r="V156" s="1314">
        <f t="shared" si="12"/>
        <v>1780.442</v>
      </c>
      <c r="AB156" s="15"/>
    </row>
    <row r="157" spans="1:36" s="8" customFormat="1" ht="15.75">
      <c r="A157" s="516"/>
      <c r="B157" s="877"/>
      <c r="C157" s="681"/>
      <c r="D157" s="2444" t="s">
        <v>20</v>
      </c>
      <c r="E157" s="2445"/>
      <c r="F157" s="2445"/>
      <c r="G157" s="2445"/>
      <c r="H157" s="2445"/>
      <c r="I157" s="2446"/>
      <c r="J157" s="2450">
        <f>R156/J156</f>
        <v>0.93417215913113882</v>
      </c>
      <c r="K157" s="2451"/>
      <c r="L157" s="2454"/>
      <c r="M157" s="2441" t="s">
        <v>21</v>
      </c>
      <c r="N157" s="2442"/>
      <c r="O157" s="2442"/>
      <c r="P157" s="2442"/>
      <c r="Q157" s="2443"/>
      <c r="R157" s="878">
        <f>VLOOKUP(A158,'12 - FINANCEIRA'!_xlnm.Print_Area,8,FALSE)</f>
        <v>4288.6689999999999</v>
      </c>
      <c r="S157" s="879" t="str">
        <f>L156</f>
        <v>m³</v>
      </c>
      <c r="T157" s="680"/>
      <c r="U157" s="663"/>
      <c r="V157" s="1314">
        <f>V158</f>
        <v>1780.442</v>
      </c>
      <c r="AB157" s="15"/>
    </row>
    <row r="158" spans="1:36" s="8" customFormat="1" ht="15.75">
      <c r="A158" s="516" t="s">
        <v>452</v>
      </c>
      <c r="B158" s="877"/>
      <c r="C158" s="113"/>
      <c r="D158" s="2447"/>
      <c r="E158" s="2448"/>
      <c r="F158" s="2448"/>
      <c r="G158" s="2448"/>
      <c r="H158" s="2448"/>
      <c r="I158" s="2449"/>
      <c r="J158" s="2452"/>
      <c r="K158" s="2453"/>
      <c r="L158" s="2455"/>
      <c r="M158" s="2456" t="s">
        <v>22</v>
      </c>
      <c r="N158" s="2457"/>
      <c r="O158" s="2457"/>
      <c r="P158" s="2457"/>
      <c r="Q158" s="2458"/>
      <c r="R158" s="521">
        <f>R156-R157</f>
        <v>1780.442</v>
      </c>
      <c r="S158" s="522" t="str">
        <f>L156</f>
        <v>m³</v>
      </c>
      <c r="T158" s="680"/>
      <c r="U158" s="663"/>
      <c r="V158" s="1314">
        <f>R158</f>
        <v>1780.442</v>
      </c>
      <c r="AB158" s="15"/>
    </row>
    <row r="159" spans="1:36" s="8" customFormat="1" ht="15.75">
      <c r="A159" s="516"/>
      <c r="B159" s="523"/>
      <c r="C159" s="524"/>
      <c r="D159" s="526"/>
      <c r="E159" s="526"/>
      <c r="F159" s="526"/>
      <c r="G159" s="525"/>
      <c r="H159" s="525"/>
      <c r="I159" s="525"/>
      <c r="J159" s="527"/>
      <c r="K159" s="528"/>
      <c r="L159" s="529"/>
      <c r="M159" s="530"/>
      <c r="N159" s="530"/>
      <c r="O159" s="530"/>
      <c r="P159" s="530"/>
      <c r="Q159" s="530"/>
      <c r="R159" s="531"/>
      <c r="S159" s="532"/>
      <c r="T159" s="533"/>
      <c r="U159" s="534"/>
      <c r="V159" s="1658">
        <f>SUM(V150:V158)</f>
        <v>16023.977999999996</v>
      </c>
      <c r="AB159" s="15"/>
    </row>
    <row r="160" spans="1:36" s="497" customFormat="1" ht="31.5" customHeight="1">
      <c r="A160" s="495"/>
      <c r="B160" s="2423" t="str">
        <f>VLOOKUP(A168,'12 - FINANCEIRA'!_xlnm.Print_Area,1,FALSE)</f>
        <v>2.1.2</v>
      </c>
      <c r="C160" s="2421" t="str">
        <f>VLOOKUP(A168,'12 - FINANCEIRA'!_xlnm.Print_Area,3,FALSE)</f>
        <v>Aterro com areia, inclusive fornecimento e adensamento</v>
      </c>
      <c r="D160" s="2479" t="s">
        <v>97</v>
      </c>
      <c r="E160" s="2480"/>
      <c r="F160" s="2480"/>
      <c r="G160" s="2480"/>
      <c r="H160" s="2480"/>
      <c r="I160" s="2481"/>
      <c r="J160" s="2416" t="s">
        <v>98</v>
      </c>
      <c r="K160" s="2416" t="s">
        <v>102</v>
      </c>
      <c r="L160" s="2416" t="s">
        <v>103</v>
      </c>
      <c r="M160" s="2416" t="s">
        <v>228</v>
      </c>
      <c r="N160" s="2416" t="s">
        <v>229</v>
      </c>
      <c r="O160" s="2416" t="s">
        <v>107</v>
      </c>
      <c r="P160" s="1597" t="s">
        <v>153</v>
      </c>
      <c r="Q160" s="2416" t="s">
        <v>16</v>
      </c>
      <c r="R160" s="2425" t="s">
        <v>2</v>
      </c>
      <c r="S160" s="2416" t="s">
        <v>99</v>
      </c>
      <c r="T160" s="2416" t="s">
        <v>17</v>
      </c>
      <c r="U160" s="2428" t="s">
        <v>362</v>
      </c>
      <c r="V160" s="1314">
        <f t="shared" ref="V160:V167" si="13">V161</f>
        <v>1065.2430000000004</v>
      </c>
      <c r="W160" s="26"/>
      <c r="X160" s="26"/>
      <c r="Y160" s="26"/>
      <c r="Z160" s="27"/>
      <c r="AA160" s="9"/>
      <c r="AB160" s="9"/>
      <c r="AC160" s="9"/>
      <c r="AD160" s="9"/>
      <c r="AE160" s="9"/>
      <c r="AF160" s="9"/>
      <c r="AG160" s="9"/>
      <c r="AH160" s="9"/>
      <c r="AI160" s="9"/>
      <c r="AJ160" s="9"/>
    </row>
    <row r="161" spans="1:36" s="497" customFormat="1" ht="15.75">
      <c r="A161" s="495"/>
      <c r="B161" s="2471" t="e">
        <f>LEFT(#REF!,5)</f>
        <v>#REF!</v>
      </c>
      <c r="C161" s="2472" t="e">
        <f>VLOOKUP(LEFT(#REF!,5),'12 - FINANCEIRA'!_xlnm.Print_Area,2,FALSE)</f>
        <v>#REF!</v>
      </c>
      <c r="D161" s="2430" t="s">
        <v>14</v>
      </c>
      <c r="E161" s="2431"/>
      <c r="F161" s="2432"/>
      <c r="G161" s="2433" t="s">
        <v>15</v>
      </c>
      <c r="H161" s="2434"/>
      <c r="I161" s="2435"/>
      <c r="J161" s="2427"/>
      <c r="K161" s="2427"/>
      <c r="L161" s="2427"/>
      <c r="M161" s="2427"/>
      <c r="N161" s="2427"/>
      <c r="O161" s="2427"/>
      <c r="P161" s="498" t="s">
        <v>104</v>
      </c>
      <c r="Q161" s="2427"/>
      <c r="R161" s="2426"/>
      <c r="S161" s="2427"/>
      <c r="T161" s="2427"/>
      <c r="U161" s="2429"/>
      <c r="V161" s="1314">
        <f t="shared" si="13"/>
        <v>1065.2430000000004</v>
      </c>
      <c r="W161" s="26"/>
      <c r="X161" s="26"/>
      <c r="Y161" s="26"/>
      <c r="Z161" s="27"/>
      <c r="AA161" s="9"/>
      <c r="AB161" s="9"/>
      <c r="AC161" s="9"/>
      <c r="AD161" s="9"/>
      <c r="AE161" s="9"/>
      <c r="AF161" s="9"/>
      <c r="AG161" s="9"/>
      <c r="AH161" s="9"/>
      <c r="AI161" s="9"/>
      <c r="AJ161" s="9"/>
    </row>
    <row r="162" spans="1:36" s="9" customFormat="1" ht="45">
      <c r="A162" s="944"/>
      <c r="B162" s="922"/>
      <c r="C162" s="1402" t="s">
        <v>745</v>
      </c>
      <c r="D162" s="962">
        <v>100</v>
      </c>
      <c r="E162" s="963" t="s">
        <v>68</v>
      </c>
      <c r="F162" s="964">
        <v>0</v>
      </c>
      <c r="G162" s="965">
        <v>113</v>
      </c>
      <c r="H162" s="963" t="s">
        <v>68</v>
      </c>
      <c r="I162" s="966">
        <v>17</v>
      </c>
      <c r="J162" s="1403" t="s">
        <v>906</v>
      </c>
      <c r="K162" s="1884">
        <f>(G162-D162)*20+I162-F162</f>
        <v>277</v>
      </c>
      <c r="L162" s="1405"/>
      <c r="M162" s="1406"/>
      <c r="N162" s="1407"/>
      <c r="O162" s="1888"/>
      <c r="P162" s="1405"/>
      <c r="Q162" s="1410"/>
      <c r="R162" s="1894">
        <v>559.08100000000002</v>
      </c>
      <c r="S162" s="1895" t="s">
        <v>5</v>
      </c>
      <c r="T162" s="1413" t="s">
        <v>90</v>
      </c>
      <c r="U162" s="1893" t="s">
        <v>908</v>
      </c>
      <c r="V162" s="1314">
        <f t="shared" si="13"/>
        <v>1065.2430000000004</v>
      </c>
      <c r="W162" s="26"/>
      <c r="X162" s="26"/>
      <c r="Y162" s="26"/>
      <c r="Z162" s="27"/>
      <c r="AA162" s="41"/>
      <c r="AB162" s="42"/>
    </row>
    <row r="163" spans="1:36" s="9" customFormat="1" ht="45">
      <c r="A163" s="944"/>
      <c r="B163" s="922"/>
      <c r="C163" s="76" t="s">
        <v>878</v>
      </c>
      <c r="D163" s="962">
        <v>0</v>
      </c>
      <c r="E163" s="963" t="s">
        <v>68</v>
      </c>
      <c r="F163" s="964">
        <v>0</v>
      </c>
      <c r="G163" s="965">
        <v>17</v>
      </c>
      <c r="H163" s="963" t="s">
        <v>68</v>
      </c>
      <c r="I163" s="966">
        <v>2</v>
      </c>
      <c r="J163" s="1403" t="s">
        <v>906</v>
      </c>
      <c r="K163" s="1896">
        <f>(G163-D163)*20+I163-F163</f>
        <v>342</v>
      </c>
      <c r="L163" s="215"/>
      <c r="M163" s="969"/>
      <c r="N163" s="1407"/>
      <c r="O163" s="224"/>
      <c r="P163" s="215"/>
      <c r="Q163" s="971"/>
      <c r="R163" s="1418">
        <v>1105.8420000000001</v>
      </c>
      <c r="S163" s="1419" t="s">
        <v>5</v>
      </c>
      <c r="T163" s="972" t="s">
        <v>90</v>
      </c>
      <c r="U163" s="1414" t="s">
        <v>1091</v>
      </c>
      <c r="V163" s="1314">
        <f t="shared" si="13"/>
        <v>1065.2430000000004</v>
      </c>
      <c r="W163" s="26"/>
      <c r="X163" s="26"/>
      <c r="Y163" s="26"/>
      <c r="Z163" s="27"/>
      <c r="AA163" s="41"/>
      <c r="AB163" s="42"/>
    </row>
    <row r="164" spans="1:36" s="8" customFormat="1" ht="15">
      <c r="A164" s="516"/>
      <c r="B164" s="922"/>
      <c r="C164" s="58"/>
      <c r="D164" s="82"/>
      <c r="E164" s="44"/>
      <c r="F164" s="83"/>
      <c r="G164" s="43"/>
      <c r="H164" s="44"/>
      <c r="I164" s="45"/>
      <c r="J164" s="46"/>
      <c r="K164" s="47"/>
      <c r="L164" s="48"/>
      <c r="M164" s="49"/>
      <c r="N164" s="50"/>
      <c r="O164" s="50"/>
      <c r="P164" s="48"/>
      <c r="Q164" s="53"/>
      <c r="R164" s="887"/>
      <c r="S164" s="180"/>
      <c r="T164" s="90"/>
      <c r="U164" s="39"/>
      <c r="V164" s="1314">
        <f t="shared" si="13"/>
        <v>1065.2430000000004</v>
      </c>
      <c r="W164" s="938"/>
      <c r="X164" s="938"/>
      <c r="Y164" s="938"/>
      <c r="Z164" s="939"/>
    </row>
    <row r="165" spans="1:36" s="8" customFormat="1" ht="15">
      <c r="A165" s="516"/>
      <c r="B165" s="59"/>
      <c r="C165" s="60"/>
      <c r="D165" s="82"/>
      <c r="E165" s="44"/>
      <c r="F165" s="83"/>
      <c r="G165" s="43"/>
      <c r="H165" s="44"/>
      <c r="I165" s="45"/>
      <c r="J165" s="46"/>
      <c r="K165" s="47"/>
      <c r="L165" s="48"/>
      <c r="M165" s="49"/>
      <c r="N165" s="50"/>
      <c r="O165" s="50"/>
      <c r="P165" s="48"/>
      <c r="Q165" s="53"/>
      <c r="R165" s="517"/>
      <c r="S165" s="54"/>
      <c r="T165" s="518"/>
      <c r="U165" s="1316"/>
      <c r="V165" s="1314">
        <f t="shared" si="13"/>
        <v>1065.2430000000004</v>
      </c>
      <c r="AB165" s="15"/>
    </row>
    <row r="166" spans="1:36" s="8" customFormat="1" ht="15.75">
      <c r="A166" s="516"/>
      <c r="B166" s="877"/>
      <c r="C166" s="113"/>
      <c r="D166" s="2436" t="s">
        <v>18</v>
      </c>
      <c r="E166" s="2437"/>
      <c r="F166" s="2437"/>
      <c r="G166" s="2437"/>
      <c r="H166" s="2437"/>
      <c r="I166" s="2438"/>
      <c r="J166" s="2439">
        <f>VLOOKUP(A168,'12 - FINANCEIRA'!_xlnm.Print_Area,6,FALSE)</f>
        <v>1746.28</v>
      </c>
      <c r="K166" s="2440"/>
      <c r="L166" s="519" t="str">
        <f>VLOOKUP(A168,'12 - FINANCEIRA'!_xlnm.Print_Area,4,FALSE)</f>
        <v>m³</v>
      </c>
      <c r="M166" s="2441" t="s">
        <v>19</v>
      </c>
      <c r="N166" s="2442"/>
      <c r="O166" s="2442"/>
      <c r="P166" s="2442"/>
      <c r="Q166" s="2443"/>
      <c r="R166" s="878">
        <f>SUM(R162:R165)</f>
        <v>1664.9230000000002</v>
      </c>
      <c r="S166" s="520" t="str">
        <f>L166</f>
        <v>m³</v>
      </c>
      <c r="T166" s="680"/>
      <c r="U166" s="663"/>
      <c r="V166" s="1314">
        <f t="shared" si="13"/>
        <v>1065.2430000000004</v>
      </c>
      <c r="AB166" s="15"/>
    </row>
    <row r="167" spans="1:36" s="8" customFormat="1" ht="15.75">
      <c r="A167" s="516"/>
      <c r="B167" s="877"/>
      <c r="C167" s="681"/>
      <c r="D167" s="2444" t="s">
        <v>20</v>
      </c>
      <c r="E167" s="2445"/>
      <c r="F167" s="2445"/>
      <c r="G167" s="2445"/>
      <c r="H167" s="2445"/>
      <c r="I167" s="2446"/>
      <c r="J167" s="2450">
        <f>R166/J166</f>
        <v>0.95341125134571791</v>
      </c>
      <c r="K167" s="2451"/>
      <c r="L167" s="2454"/>
      <c r="M167" s="2441" t="s">
        <v>21</v>
      </c>
      <c r="N167" s="2442"/>
      <c r="O167" s="2442"/>
      <c r="P167" s="2442"/>
      <c r="Q167" s="2443"/>
      <c r="R167" s="878">
        <f>VLOOKUP(A168,'12 - FINANCEIRA'!_xlnm.Print_Area,8,FALSE)</f>
        <v>599.67999999999995</v>
      </c>
      <c r="S167" s="879" t="str">
        <f>L166</f>
        <v>m³</v>
      </c>
      <c r="T167" s="680"/>
      <c r="U167" s="663"/>
      <c r="V167" s="1314">
        <f t="shared" si="13"/>
        <v>1065.2430000000004</v>
      </c>
      <c r="AB167" s="15"/>
    </row>
    <row r="168" spans="1:36" s="8" customFormat="1" ht="15.75">
      <c r="A168" s="516" t="s">
        <v>453</v>
      </c>
      <c r="B168" s="877"/>
      <c r="C168" s="113"/>
      <c r="D168" s="2447"/>
      <c r="E168" s="2448"/>
      <c r="F168" s="2448"/>
      <c r="G168" s="2448"/>
      <c r="H168" s="2448"/>
      <c r="I168" s="2449"/>
      <c r="J168" s="2452"/>
      <c r="K168" s="2453"/>
      <c r="L168" s="2455"/>
      <c r="M168" s="2456" t="s">
        <v>22</v>
      </c>
      <c r="N168" s="2457"/>
      <c r="O168" s="2457"/>
      <c r="P168" s="2457"/>
      <c r="Q168" s="2458"/>
      <c r="R168" s="521">
        <f>R166-R167</f>
        <v>1065.2430000000004</v>
      </c>
      <c r="S168" s="522" t="str">
        <f>L166</f>
        <v>m³</v>
      </c>
      <c r="T168" s="680"/>
      <c r="U168" s="663"/>
      <c r="V168" s="1314">
        <f>R168</f>
        <v>1065.2430000000004</v>
      </c>
      <c r="AB168" s="15"/>
    </row>
    <row r="169" spans="1:36" s="8" customFormat="1" ht="15.75">
      <c r="A169" s="516"/>
      <c r="B169" s="651"/>
      <c r="C169" s="652"/>
      <c r="D169" s="654"/>
      <c r="E169" s="654"/>
      <c r="F169" s="654"/>
      <c r="G169" s="653"/>
      <c r="H169" s="653"/>
      <c r="I169" s="653"/>
      <c r="J169" s="655"/>
      <c r="K169" s="656"/>
      <c r="L169" s="657"/>
      <c r="M169" s="658"/>
      <c r="N169" s="658"/>
      <c r="O169" s="658"/>
      <c r="P169" s="658"/>
      <c r="Q169" s="658"/>
      <c r="R169" s="659"/>
      <c r="S169" s="660"/>
      <c r="T169" s="661"/>
      <c r="U169" s="662"/>
      <c r="V169" s="1658">
        <f>SUM(V160:V168)</f>
        <v>9587.1870000000035</v>
      </c>
      <c r="AB169" s="15"/>
    </row>
    <row r="170" spans="1:36" s="497" customFormat="1" ht="15.75">
      <c r="A170" s="495"/>
      <c r="B170" s="2423" t="str">
        <f>VLOOKUP(A178,'12 - FINANCEIRA'!_xlnm.Print_Area,1,FALSE)</f>
        <v>2.1.3</v>
      </c>
      <c r="C170" s="2421" t="str">
        <f>VLOOKUP(A178,'12 - FINANCEIRA'!_xlnm.Print_Area,3,FALSE)</f>
        <v>Aquisição de solo de jazida comercial (saibreira)</v>
      </c>
      <c r="D170" s="2479" t="s">
        <v>97</v>
      </c>
      <c r="E170" s="2480"/>
      <c r="F170" s="2480"/>
      <c r="G170" s="2480"/>
      <c r="H170" s="2480"/>
      <c r="I170" s="2481"/>
      <c r="J170" s="2416" t="s">
        <v>98</v>
      </c>
      <c r="K170" s="2416" t="s">
        <v>102</v>
      </c>
      <c r="L170" s="2416" t="s">
        <v>103</v>
      </c>
      <c r="M170" s="2416" t="s">
        <v>228</v>
      </c>
      <c r="N170" s="2416" t="s">
        <v>229</v>
      </c>
      <c r="O170" s="2416" t="s">
        <v>107</v>
      </c>
      <c r="P170" s="496" t="s">
        <v>153</v>
      </c>
      <c r="Q170" s="2416" t="s">
        <v>16</v>
      </c>
      <c r="R170" s="2425" t="s">
        <v>2</v>
      </c>
      <c r="S170" s="2416" t="s">
        <v>99</v>
      </c>
      <c r="T170" s="2416" t="s">
        <v>17</v>
      </c>
      <c r="U170" s="2428" t="s">
        <v>362</v>
      </c>
      <c r="V170" s="870">
        <f t="shared" ref="V170:V175" si="14">V171</f>
        <v>1485.29</v>
      </c>
      <c r="W170" s="26"/>
      <c r="X170" s="26"/>
      <c r="Y170" s="26"/>
      <c r="Z170" s="27"/>
      <c r="AA170" s="9"/>
      <c r="AB170" s="9"/>
      <c r="AC170" s="9"/>
      <c r="AD170" s="9"/>
      <c r="AE170" s="9"/>
      <c r="AF170" s="9"/>
      <c r="AG170" s="9"/>
      <c r="AH170" s="9"/>
      <c r="AI170" s="9"/>
      <c r="AJ170" s="9"/>
    </row>
    <row r="171" spans="1:36" s="497" customFormat="1" ht="15.75">
      <c r="A171" s="495"/>
      <c r="B171" s="2471" t="e">
        <f>LEFT(#REF!,5)</f>
        <v>#REF!</v>
      </c>
      <c r="C171" s="2472" t="e">
        <f>VLOOKUP(LEFT(#REF!,5),'12 - FINANCEIRA'!_xlnm.Print_Area,2,FALSE)</f>
        <v>#REF!</v>
      </c>
      <c r="D171" s="2430" t="s">
        <v>14</v>
      </c>
      <c r="E171" s="2431"/>
      <c r="F171" s="2432"/>
      <c r="G171" s="2433" t="s">
        <v>15</v>
      </c>
      <c r="H171" s="2434"/>
      <c r="I171" s="2435"/>
      <c r="J171" s="2427"/>
      <c r="K171" s="2427"/>
      <c r="L171" s="2427"/>
      <c r="M171" s="2427"/>
      <c r="N171" s="2427"/>
      <c r="O171" s="2427"/>
      <c r="P171" s="498" t="s">
        <v>104</v>
      </c>
      <c r="Q171" s="2427"/>
      <c r="R171" s="2426"/>
      <c r="S171" s="2427"/>
      <c r="T171" s="2427"/>
      <c r="U171" s="2429"/>
      <c r="V171" s="870">
        <f t="shared" si="14"/>
        <v>1485.29</v>
      </c>
      <c r="W171" s="26"/>
      <c r="X171" s="26"/>
      <c r="Y171" s="26"/>
      <c r="Z171" s="27"/>
      <c r="AA171" s="9"/>
      <c r="AB171" s="9"/>
      <c r="AC171" s="9"/>
      <c r="AD171" s="9"/>
      <c r="AE171" s="9"/>
      <c r="AF171" s="9"/>
      <c r="AG171" s="9"/>
      <c r="AH171" s="9"/>
      <c r="AI171" s="9"/>
      <c r="AJ171" s="9"/>
    </row>
    <row r="172" spans="1:36" s="724" customFormat="1" ht="30">
      <c r="A172" s="717"/>
      <c r="B172" s="734"/>
      <c r="C172" s="1648" t="s">
        <v>1004</v>
      </c>
      <c r="D172" s="156">
        <v>100</v>
      </c>
      <c r="E172" s="86" t="s">
        <v>68</v>
      </c>
      <c r="F172" s="155">
        <v>0</v>
      </c>
      <c r="G172" s="85">
        <v>109</v>
      </c>
      <c r="H172" s="86" t="s">
        <v>68</v>
      </c>
      <c r="I172" s="87">
        <v>14.75</v>
      </c>
      <c r="J172" s="1600" t="s">
        <v>906</v>
      </c>
      <c r="K172" s="1529">
        <f>(G172-D172)*20+I172-F172</f>
        <v>194.75</v>
      </c>
      <c r="L172" s="1649">
        <v>3.4</v>
      </c>
      <c r="M172" s="1424">
        <v>0.6</v>
      </c>
      <c r="N172" s="1680"/>
      <c r="O172" s="1681">
        <f>K172*L172*M172</f>
        <v>397.28999999999996</v>
      </c>
      <c r="P172" s="1649"/>
      <c r="Q172" s="1650"/>
      <c r="R172" s="1651">
        <f>TRUNC(O172,3)</f>
        <v>397.29</v>
      </c>
      <c r="S172" s="1650" t="s">
        <v>5</v>
      </c>
      <c r="T172" s="1644" t="s">
        <v>90</v>
      </c>
      <c r="U172" s="1019"/>
      <c r="V172" s="870">
        <f t="shared" si="14"/>
        <v>1485.29</v>
      </c>
      <c r="W172" s="720"/>
      <c r="X172" s="720"/>
      <c r="Y172" s="720"/>
      <c r="Z172" s="721"/>
      <c r="AA172" s="722"/>
      <c r="AB172" s="723"/>
    </row>
    <row r="173" spans="1:36" s="724" customFormat="1" ht="30">
      <c r="A173" s="717"/>
      <c r="B173" s="718"/>
      <c r="C173" s="1682" t="s">
        <v>1005</v>
      </c>
      <c r="D173" s="156">
        <v>0</v>
      </c>
      <c r="E173" s="86" t="s">
        <v>68</v>
      </c>
      <c r="F173" s="155">
        <v>0</v>
      </c>
      <c r="G173" s="85">
        <v>5</v>
      </c>
      <c r="H173" s="86" t="s">
        <v>68</v>
      </c>
      <c r="I173" s="87">
        <v>10</v>
      </c>
      <c r="J173" s="1480" t="s">
        <v>906</v>
      </c>
      <c r="K173" s="1599">
        <f>(G173-D173)*20+I173-F173</f>
        <v>110</v>
      </c>
      <c r="L173" s="1683">
        <v>3.4</v>
      </c>
      <c r="M173" s="983">
        <v>0.8</v>
      </c>
      <c r="N173" s="1684"/>
      <c r="O173" s="1681">
        <f>K173*L173*M173</f>
        <v>299.2</v>
      </c>
      <c r="P173" s="1683"/>
      <c r="Q173" s="1685"/>
      <c r="R173" s="511">
        <f>TRUNC(O173,3)</f>
        <v>299.2</v>
      </c>
      <c r="S173" s="1685" t="s">
        <v>5</v>
      </c>
      <c r="T173" s="1618" t="s">
        <v>90</v>
      </c>
      <c r="U173" s="1020"/>
      <c r="V173" s="870">
        <f t="shared" si="14"/>
        <v>1485.29</v>
      </c>
      <c r="W173" s="720"/>
      <c r="X173" s="720"/>
      <c r="Y173" s="720"/>
      <c r="Z173" s="721"/>
      <c r="AA173" s="722"/>
      <c r="AB173" s="723"/>
    </row>
    <row r="174" spans="1:36" s="724" customFormat="1" ht="30">
      <c r="A174" s="717"/>
      <c r="B174" s="718"/>
      <c r="C174" s="1682" t="s">
        <v>1005</v>
      </c>
      <c r="D174" s="156">
        <v>5</v>
      </c>
      <c r="E174" s="86" t="s">
        <v>68</v>
      </c>
      <c r="F174" s="155">
        <v>10</v>
      </c>
      <c r="G174" s="85">
        <v>7</v>
      </c>
      <c r="H174" s="86" t="s">
        <v>68</v>
      </c>
      <c r="I174" s="87">
        <v>10</v>
      </c>
      <c r="J174" s="1480" t="s">
        <v>906</v>
      </c>
      <c r="K174" s="1599">
        <f t="shared" ref="K174:K175" si="15">(G174-D174)*20+I174-F174</f>
        <v>40</v>
      </c>
      <c r="L174" s="1683">
        <v>3.4</v>
      </c>
      <c r="M174" s="983">
        <v>2</v>
      </c>
      <c r="N174" s="1684"/>
      <c r="O174" s="1681">
        <f t="shared" ref="O174:O175" si="16">K174*L174*M174</f>
        <v>272</v>
      </c>
      <c r="P174" s="1683"/>
      <c r="Q174" s="1685"/>
      <c r="R174" s="511">
        <f t="shared" ref="R174" si="17">TRUNC(O174,3)</f>
        <v>272</v>
      </c>
      <c r="S174" s="1685" t="s">
        <v>5</v>
      </c>
      <c r="T174" s="1618" t="s">
        <v>90</v>
      </c>
      <c r="U174" s="1020"/>
      <c r="V174" s="870">
        <f t="shared" si="14"/>
        <v>1485.29</v>
      </c>
      <c r="W174" s="720"/>
      <c r="X174" s="720"/>
      <c r="Y174" s="720"/>
      <c r="Z174" s="721"/>
      <c r="AA174" s="722"/>
      <c r="AB174" s="723"/>
    </row>
    <row r="175" spans="1:36" s="724" customFormat="1" ht="30">
      <c r="A175" s="717"/>
      <c r="B175" s="1065"/>
      <c r="C175" s="127" t="s">
        <v>1005</v>
      </c>
      <c r="D175" s="957">
        <v>7</v>
      </c>
      <c r="E175" s="125" t="s">
        <v>68</v>
      </c>
      <c r="F175" s="958">
        <v>10</v>
      </c>
      <c r="G175" s="126">
        <v>17</v>
      </c>
      <c r="H175" s="125" t="s">
        <v>68</v>
      </c>
      <c r="I175" s="124">
        <v>0</v>
      </c>
      <c r="J175" s="1755" t="s">
        <v>906</v>
      </c>
      <c r="K175" s="1757">
        <f t="shared" si="15"/>
        <v>190</v>
      </c>
      <c r="L175" s="119">
        <v>3.4</v>
      </c>
      <c r="M175" s="1103">
        <v>0.8</v>
      </c>
      <c r="N175" s="1758"/>
      <c r="O175" s="120">
        <f t="shared" si="16"/>
        <v>516.80000000000007</v>
      </c>
      <c r="P175" s="119"/>
      <c r="Q175" s="959"/>
      <c r="R175" s="1756">
        <f>TRUNC(O175,3)</f>
        <v>516.79999999999995</v>
      </c>
      <c r="S175" s="959" t="s">
        <v>5</v>
      </c>
      <c r="T175" s="960" t="s">
        <v>90</v>
      </c>
      <c r="U175" s="1759"/>
      <c r="V175" s="870">
        <f t="shared" si="14"/>
        <v>1485.29</v>
      </c>
      <c r="W175" s="720"/>
      <c r="X175" s="720"/>
      <c r="Y175" s="720"/>
      <c r="Z175" s="721"/>
      <c r="AA175" s="722"/>
      <c r="AB175" s="723"/>
    </row>
    <row r="176" spans="1:36" s="8" customFormat="1" ht="15.75">
      <c r="A176" s="516"/>
      <c r="B176" s="877"/>
      <c r="C176" s="113"/>
      <c r="D176" s="2459" t="s">
        <v>18</v>
      </c>
      <c r="E176" s="2460"/>
      <c r="F176" s="2460"/>
      <c r="G176" s="2460"/>
      <c r="H176" s="2460"/>
      <c r="I176" s="2461"/>
      <c r="J176" s="2462">
        <f>VLOOKUP(A178,'12 - FINANCEIRA'!_xlnm.Print_Area,6,FALSE)</f>
        <v>1942.89</v>
      </c>
      <c r="K176" s="2463"/>
      <c r="L176" s="1744" t="str">
        <f>VLOOKUP(A178,'12 - FINANCEIRA'!_xlnm.Print_Area,4,FALSE)</f>
        <v>m³</v>
      </c>
      <c r="M176" s="2464" t="s">
        <v>19</v>
      </c>
      <c r="N176" s="2465"/>
      <c r="O176" s="2465"/>
      <c r="P176" s="2465"/>
      <c r="Q176" s="2466"/>
      <c r="R176" s="1154">
        <f>SUM(R172:R175)</f>
        <v>1485.29</v>
      </c>
      <c r="S176" s="1745" t="str">
        <f>L176</f>
        <v>m³</v>
      </c>
      <c r="T176" s="680"/>
      <c r="U176" s="663"/>
      <c r="V176" s="870">
        <f t="shared" ref="V176:V177" si="18">V177</f>
        <v>1485.29</v>
      </c>
      <c r="AB176" s="15"/>
    </row>
    <row r="177" spans="1:36" s="8" customFormat="1" ht="15.75">
      <c r="A177" s="516"/>
      <c r="B177" s="877"/>
      <c r="C177" s="681"/>
      <c r="D177" s="2444" t="s">
        <v>20</v>
      </c>
      <c r="E177" s="2445"/>
      <c r="F177" s="2445"/>
      <c r="G177" s="2445"/>
      <c r="H177" s="2445"/>
      <c r="I177" s="2446"/>
      <c r="J177" s="2450">
        <f>R176/J176</f>
        <v>0.76447457138592501</v>
      </c>
      <c r="K177" s="2451"/>
      <c r="L177" s="2454"/>
      <c r="M177" s="2441" t="s">
        <v>21</v>
      </c>
      <c r="N177" s="2442"/>
      <c r="O177" s="2442"/>
      <c r="P177" s="2442"/>
      <c r="Q177" s="2443"/>
      <c r="R177" s="878">
        <f>VLOOKUP(A178,'12 - FINANCEIRA'!_xlnm.Print_Area,8,FALSE)</f>
        <v>0</v>
      </c>
      <c r="S177" s="879" t="str">
        <f>L176</f>
        <v>m³</v>
      </c>
      <c r="T177" s="680"/>
      <c r="U177" s="663"/>
      <c r="V177" s="870">
        <f t="shared" si="18"/>
        <v>1485.29</v>
      </c>
      <c r="AB177" s="15"/>
    </row>
    <row r="178" spans="1:36" s="8" customFormat="1" ht="15.75">
      <c r="A178" s="516" t="s">
        <v>454</v>
      </c>
      <c r="B178" s="880"/>
      <c r="C178" s="885"/>
      <c r="D178" s="2475"/>
      <c r="E178" s="2460"/>
      <c r="F178" s="2460"/>
      <c r="G178" s="2460"/>
      <c r="H178" s="2460"/>
      <c r="I178" s="2476"/>
      <c r="J178" s="2477"/>
      <c r="K178" s="2478"/>
      <c r="L178" s="2483"/>
      <c r="M178" s="2441" t="s">
        <v>22</v>
      </c>
      <c r="N178" s="2442"/>
      <c r="O178" s="2442"/>
      <c r="P178" s="2442"/>
      <c r="Q178" s="2443"/>
      <c r="R178" s="878">
        <f>R176-R177</f>
        <v>1485.29</v>
      </c>
      <c r="S178" s="879" t="str">
        <f>L176</f>
        <v>m³</v>
      </c>
      <c r="T178" s="886"/>
      <c r="U178" s="881"/>
      <c r="V178" s="870">
        <f>R178</f>
        <v>1485.29</v>
      </c>
      <c r="AB178" s="15"/>
    </row>
    <row r="179" spans="1:36" s="8" customFormat="1" ht="15.75">
      <c r="A179" s="516"/>
      <c r="B179" s="523"/>
      <c r="C179" s="524"/>
      <c r="D179" s="526"/>
      <c r="E179" s="526"/>
      <c r="F179" s="526"/>
      <c r="G179" s="525"/>
      <c r="H179" s="525"/>
      <c r="I179" s="525"/>
      <c r="J179" s="527"/>
      <c r="K179" s="528"/>
      <c r="L179" s="529"/>
      <c r="M179" s="530"/>
      <c r="N179" s="530"/>
      <c r="O179" s="530"/>
      <c r="P179" s="530"/>
      <c r="Q179" s="530"/>
      <c r="R179" s="531"/>
      <c r="S179" s="532"/>
      <c r="T179" s="533"/>
      <c r="U179" s="534"/>
      <c r="V179" s="871">
        <f>SUM(V170:V178)</f>
        <v>13367.61</v>
      </c>
      <c r="AB179" s="15"/>
    </row>
    <row r="180" spans="1:36" s="497" customFormat="1" ht="31.5">
      <c r="A180" s="495"/>
      <c r="B180" s="2423" t="str">
        <f>VLOOKUP(A188,'12 - FINANCEIRA'!_xlnm.Print_Area,1,FALSE)</f>
        <v>2.1.4</v>
      </c>
      <c r="C180" s="2421" t="str">
        <f>VLOOKUP(A188,'12 - FINANCEIRA'!_xlnm.Print_Area,3,FALSE)</f>
        <v>Transporte de materiais para DMT acima de 15 KM (Caminhão basculante) - solo de jazida comercial (saibreira)</v>
      </c>
      <c r="D180" s="2479" t="s">
        <v>97</v>
      </c>
      <c r="E180" s="2480"/>
      <c r="F180" s="2480"/>
      <c r="G180" s="2480"/>
      <c r="H180" s="2480"/>
      <c r="I180" s="2481"/>
      <c r="J180" s="2416" t="s">
        <v>98</v>
      </c>
      <c r="K180" s="2416" t="s">
        <v>102</v>
      </c>
      <c r="L180" s="2416" t="s">
        <v>103</v>
      </c>
      <c r="M180" s="2416" t="s">
        <v>228</v>
      </c>
      <c r="N180" s="2416" t="s">
        <v>229</v>
      </c>
      <c r="O180" s="2416" t="s">
        <v>107</v>
      </c>
      <c r="P180" s="496" t="s">
        <v>153</v>
      </c>
      <c r="Q180" s="496" t="s">
        <v>153</v>
      </c>
      <c r="R180" s="2425" t="s">
        <v>2</v>
      </c>
      <c r="S180" s="2416" t="s">
        <v>99</v>
      </c>
      <c r="T180" s="2416" t="s">
        <v>17</v>
      </c>
      <c r="U180" s="2428" t="s">
        <v>362</v>
      </c>
      <c r="V180" s="870">
        <f t="shared" ref="V180:V187" si="19">V181</f>
        <v>2525.7600000000002</v>
      </c>
      <c r="W180" s="26"/>
      <c r="X180" s="26"/>
      <c r="Y180" s="26"/>
      <c r="Z180" s="27"/>
      <c r="AA180" s="9"/>
      <c r="AB180" s="9"/>
      <c r="AC180" s="9"/>
      <c r="AD180" s="9"/>
      <c r="AE180" s="9"/>
      <c r="AF180" s="9"/>
      <c r="AG180" s="9"/>
      <c r="AH180" s="9"/>
      <c r="AI180" s="9"/>
      <c r="AJ180" s="9"/>
    </row>
    <row r="181" spans="1:36" s="497" customFormat="1" ht="25.5" customHeight="1">
      <c r="A181" s="495"/>
      <c r="B181" s="2471" t="e">
        <f>LEFT(#REF!,5)</f>
        <v>#REF!</v>
      </c>
      <c r="C181" s="2472" t="e">
        <f>VLOOKUP(LEFT(#REF!,5),'12 - FINANCEIRA'!_xlnm.Print_Area,2,FALSE)</f>
        <v>#REF!</v>
      </c>
      <c r="D181" s="2430" t="s">
        <v>14</v>
      </c>
      <c r="E181" s="2431"/>
      <c r="F181" s="2432"/>
      <c r="G181" s="2433" t="s">
        <v>15</v>
      </c>
      <c r="H181" s="2434"/>
      <c r="I181" s="2435"/>
      <c r="J181" s="2427"/>
      <c r="K181" s="2427"/>
      <c r="L181" s="2427"/>
      <c r="M181" s="2427"/>
      <c r="N181" s="2427"/>
      <c r="O181" s="2427"/>
      <c r="P181" s="1742" t="s">
        <v>104</v>
      </c>
      <c r="Q181" s="1742" t="s">
        <v>1087</v>
      </c>
      <c r="R181" s="2426"/>
      <c r="S181" s="2427"/>
      <c r="T181" s="2427"/>
      <c r="U181" s="2429"/>
      <c r="V181" s="870">
        <f t="shared" si="19"/>
        <v>2525.7600000000002</v>
      </c>
      <c r="W181" s="26"/>
      <c r="X181" s="26"/>
      <c r="Y181" s="26"/>
      <c r="Z181" s="27"/>
      <c r="AA181" s="9"/>
      <c r="AB181" s="9"/>
      <c r="AC181" s="9"/>
      <c r="AD181" s="9"/>
      <c r="AE181" s="9"/>
      <c r="AF181" s="9"/>
      <c r="AG181" s="9"/>
      <c r="AH181" s="9"/>
      <c r="AI181" s="9"/>
      <c r="AJ181" s="9"/>
    </row>
    <row r="182" spans="1:36" s="9" customFormat="1" ht="45">
      <c r="A182" s="944"/>
      <c r="B182" s="922"/>
      <c r="C182" s="79" t="s">
        <v>1006</v>
      </c>
      <c r="D182" s="156">
        <v>100</v>
      </c>
      <c r="E182" s="86" t="s">
        <v>68</v>
      </c>
      <c r="F182" s="155">
        <v>0</v>
      </c>
      <c r="G182" s="85">
        <v>109</v>
      </c>
      <c r="H182" s="86" t="s">
        <v>68</v>
      </c>
      <c r="I182" s="87">
        <v>14.75</v>
      </c>
      <c r="J182" s="1600" t="s">
        <v>906</v>
      </c>
      <c r="K182" s="47"/>
      <c r="L182" s="52"/>
      <c r="M182" s="1796"/>
      <c r="N182" s="1797"/>
      <c r="O182" s="1537">
        <f>R172</f>
        <v>397.29</v>
      </c>
      <c r="P182" s="1483">
        <v>2.214</v>
      </c>
      <c r="Q182" s="133">
        <v>2.0089999999999999</v>
      </c>
      <c r="R182" s="502">
        <f>TRUNC(O182*P182,3)</f>
        <v>879.6</v>
      </c>
      <c r="S182" s="841" t="s">
        <v>6</v>
      </c>
      <c r="T182" s="262" t="s">
        <v>90</v>
      </c>
      <c r="U182" s="212"/>
      <c r="V182" s="870">
        <f t="shared" si="19"/>
        <v>2525.7600000000002</v>
      </c>
      <c r="W182" s="26"/>
      <c r="X182" s="26"/>
      <c r="Y182" s="26"/>
      <c r="Z182" s="27"/>
      <c r="AA182" s="41"/>
      <c r="AB182" s="42"/>
    </row>
    <row r="183" spans="1:36" s="9" customFormat="1" ht="45">
      <c r="A183" s="944"/>
      <c r="B183" s="922"/>
      <c r="C183" s="79" t="s">
        <v>1007</v>
      </c>
      <c r="D183" s="156">
        <v>0</v>
      </c>
      <c r="E183" s="86" t="s">
        <v>68</v>
      </c>
      <c r="F183" s="155">
        <v>0</v>
      </c>
      <c r="G183" s="85">
        <v>5</v>
      </c>
      <c r="H183" s="86" t="s">
        <v>68</v>
      </c>
      <c r="I183" s="87">
        <v>10</v>
      </c>
      <c r="J183" s="1480" t="s">
        <v>906</v>
      </c>
      <c r="K183" s="47"/>
      <c r="L183" s="52"/>
      <c r="M183" s="1796"/>
      <c r="N183" s="1797"/>
      <c r="O183" s="1537">
        <f>R173</f>
        <v>299.2</v>
      </c>
      <c r="P183" s="1483">
        <v>2.2090000000000001</v>
      </c>
      <c r="Q183" s="133">
        <v>2.004</v>
      </c>
      <c r="R183" s="508">
        <f>TRUNC(O183*P183,3)</f>
        <v>660.93200000000002</v>
      </c>
      <c r="S183" s="509" t="s">
        <v>6</v>
      </c>
      <c r="T183" s="262" t="s">
        <v>90</v>
      </c>
      <c r="U183" s="212"/>
      <c r="V183" s="870">
        <f t="shared" si="19"/>
        <v>2525.7600000000002</v>
      </c>
      <c r="W183" s="26"/>
      <c r="X183" s="26"/>
      <c r="Y183" s="26"/>
      <c r="Z183" s="27"/>
      <c r="AA183" s="41"/>
      <c r="AB183" s="42"/>
    </row>
    <row r="184" spans="1:36" s="9" customFormat="1" ht="45">
      <c r="A184" s="944"/>
      <c r="B184" s="922"/>
      <c r="C184" s="79" t="s">
        <v>1007</v>
      </c>
      <c r="D184" s="156">
        <v>5</v>
      </c>
      <c r="E184" s="86" t="s">
        <v>68</v>
      </c>
      <c r="F184" s="155">
        <v>10</v>
      </c>
      <c r="G184" s="85">
        <v>7</v>
      </c>
      <c r="H184" s="86" t="s">
        <v>68</v>
      </c>
      <c r="I184" s="87">
        <v>10</v>
      </c>
      <c r="J184" s="1480" t="s">
        <v>906</v>
      </c>
      <c r="K184" s="47"/>
      <c r="L184" s="48"/>
      <c r="M184" s="49"/>
      <c r="N184" s="211"/>
      <c r="O184" s="1537">
        <v>70.126000000000005</v>
      </c>
      <c r="P184" s="1483">
        <v>2.2090000000000001</v>
      </c>
      <c r="Q184" s="225"/>
      <c r="R184" s="508"/>
      <c r="S184" s="509" t="s">
        <v>6</v>
      </c>
      <c r="T184" s="262" t="s">
        <v>90</v>
      </c>
      <c r="U184" s="1733" t="s">
        <v>1016</v>
      </c>
      <c r="V184" s="870">
        <f t="shared" si="19"/>
        <v>2525.7600000000002</v>
      </c>
      <c r="W184" s="26"/>
      <c r="X184" s="26"/>
      <c r="Y184" s="26"/>
      <c r="Z184" s="27"/>
      <c r="AA184" s="41"/>
      <c r="AB184" s="42"/>
    </row>
    <row r="185" spans="1:36" s="9" customFormat="1" ht="45">
      <c r="A185" s="944"/>
      <c r="B185" s="925"/>
      <c r="C185" s="127" t="s">
        <v>1007</v>
      </c>
      <c r="D185" s="957">
        <v>7</v>
      </c>
      <c r="E185" s="125" t="s">
        <v>68</v>
      </c>
      <c r="F185" s="958">
        <v>10</v>
      </c>
      <c r="G185" s="126">
        <v>17</v>
      </c>
      <c r="H185" s="125" t="s">
        <v>68</v>
      </c>
      <c r="I185" s="124">
        <v>0</v>
      </c>
      <c r="J185" s="1755" t="s">
        <v>906</v>
      </c>
      <c r="K185" s="63"/>
      <c r="L185" s="64"/>
      <c r="M185" s="65"/>
      <c r="N185" s="900"/>
      <c r="O185" s="1781">
        <f>R175</f>
        <v>516.79999999999995</v>
      </c>
      <c r="P185" s="1105">
        <v>2.2090000000000001</v>
      </c>
      <c r="Q185" s="246"/>
      <c r="R185" s="1756">
        <f>TRUNC(O185*P185-156.383,3)</f>
        <v>985.22799999999995</v>
      </c>
      <c r="S185" s="959" t="s">
        <v>6</v>
      </c>
      <c r="T185" s="960" t="s">
        <v>90</v>
      </c>
      <c r="U185" s="1736" t="s">
        <v>1016</v>
      </c>
      <c r="V185" s="870">
        <f t="shared" si="19"/>
        <v>2525.7600000000002</v>
      </c>
      <c r="W185" s="26"/>
      <c r="X185" s="26"/>
      <c r="Y185" s="26"/>
      <c r="Z185" s="27"/>
      <c r="AA185" s="41"/>
      <c r="AB185" s="42"/>
    </row>
    <row r="186" spans="1:36" s="8" customFormat="1" ht="15.75">
      <c r="A186" s="516"/>
      <c r="B186" s="877"/>
      <c r="C186" s="113"/>
      <c r="D186" s="2459" t="s">
        <v>18</v>
      </c>
      <c r="E186" s="2460"/>
      <c r="F186" s="2460"/>
      <c r="G186" s="2460"/>
      <c r="H186" s="2460"/>
      <c r="I186" s="2461"/>
      <c r="J186" s="2462">
        <f>VLOOKUP(A188,'12 - FINANCEIRA'!_xlnm.Print_Area,6,FALSE)</f>
        <v>2525.7600000000002</v>
      </c>
      <c r="K186" s="2463"/>
      <c r="L186" s="1744" t="str">
        <f>VLOOKUP(A188,'12 - FINANCEIRA'!_xlnm.Print_Area,4,FALSE)</f>
        <v>t</v>
      </c>
      <c r="M186" s="2464" t="s">
        <v>19</v>
      </c>
      <c r="N186" s="2465"/>
      <c r="O186" s="2465"/>
      <c r="P186" s="2465"/>
      <c r="Q186" s="2466"/>
      <c r="R186" s="1154">
        <f>SUM(R182:R185)</f>
        <v>2525.7600000000002</v>
      </c>
      <c r="S186" s="1745" t="str">
        <f>L186</f>
        <v>t</v>
      </c>
      <c r="T186" s="680"/>
      <c r="U186" s="1115"/>
      <c r="V186" s="870">
        <f t="shared" si="19"/>
        <v>2525.7600000000002</v>
      </c>
      <c r="AB186" s="15"/>
    </row>
    <row r="187" spans="1:36" s="8" customFormat="1" ht="15.75">
      <c r="A187" s="516"/>
      <c r="B187" s="877"/>
      <c r="C187" s="681"/>
      <c r="D187" s="2444" t="s">
        <v>20</v>
      </c>
      <c r="E187" s="2445"/>
      <c r="F187" s="2445"/>
      <c r="G187" s="2445"/>
      <c r="H187" s="2445"/>
      <c r="I187" s="2446"/>
      <c r="J187" s="2450">
        <f>R186/J186</f>
        <v>1</v>
      </c>
      <c r="K187" s="2451"/>
      <c r="L187" s="2454"/>
      <c r="M187" s="2441" t="s">
        <v>21</v>
      </c>
      <c r="N187" s="2442"/>
      <c r="O187" s="2442"/>
      <c r="P187" s="2442"/>
      <c r="Q187" s="2443"/>
      <c r="R187" s="878">
        <f>VLOOKUP(A188,'12 - FINANCEIRA'!_xlnm.Print_Area,8,FALSE)</f>
        <v>0</v>
      </c>
      <c r="S187" s="879" t="str">
        <f>L186</f>
        <v>t</v>
      </c>
      <c r="T187" s="680"/>
      <c r="U187" s="663"/>
      <c r="V187" s="870">
        <f t="shared" si="19"/>
        <v>2525.7600000000002</v>
      </c>
      <c r="AB187" s="15"/>
    </row>
    <row r="188" spans="1:36" s="8" customFormat="1" ht="15.75">
      <c r="A188" s="516" t="s">
        <v>455</v>
      </c>
      <c r="B188" s="877"/>
      <c r="C188" s="113"/>
      <c r="D188" s="2447"/>
      <c r="E188" s="2448"/>
      <c r="F188" s="2448"/>
      <c r="G188" s="2448"/>
      <c r="H188" s="2448"/>
      <c r="I188" s="2449"/>
      <c r="J188" s="2452"/>
      <c r="K188" s="2453"/>
      <c r="L188" s="2455"/>
      <c r="M188" s="2456" t="s">
        <v>22</v>
      </c>
      <c r="N188" s="2457"/>
      <c r="O188" s="2457"/>
      <c r="P188" s="2457"/>
      <c r="Q188" s="2458"/>
      <c r="R188" s="521">
        <f>R186-R187</f>
        <v>2525.7600000000002</v>
      </c>
      <c r="S188" s="522" t="str">
        <f>L186</f>
        <v>t</v>
      </c>
      <c r="T188" s="680"/>
      <c r="U188" s="663"/>
      <c r="V188" s="870">
        <f>R188</f>
        <v>2525.7600000000002</v>
      </c>
      <c r="AB188" s="15"/>
    </row>
    <row r="189" spans="1:36" s="8" customFormat="1" ht="15.75">
      <c r="A189" s="516"/>
      <c r="B189" s="523"/>
      <c r="C189" s="524"/>
      <c r="D189" s="526"/>
      <c r="E189" s="526"/>
      <c r="F189" s="526"/>
      <c r="G189" s="525"/>
      <c r="H189" s="525"/>
      <c r="I189" s="525"/>
      <c r="J189" s="527"/>
      <c r="K189" s="528"/>
      <c r="L189" s="529"/>
      <c r="M189" s="530"/>
      <c r="N189" s="530"/>
      <c r="O189" s="530"/>
      <c r="P189" s="530"/>
      <c r="Q189" s="530"/>
      <c r="R189" s="531"/>
      <c r="S189" s="532"/>
      <c r="T189" s="533"/>
      <c r="U189" s="534"/>
      <c r="V189" s="871">
        <f>SUM(V180:V188)</f>
        <v>22731.840000000004</v>
      </c>
      <c r="AB189" s="15"/>
    </row>
    <row r="190" spans="1:36" s="497" customFormat="1" ht="15.75" hidden="1">
      <c r="A190" s="495"/>
      <c r="B190" s="2423" t="str">
        <f>VLOOKUP(A198,'12 - FINANCEIRA'!_xlnm.Print_Area,1,FALSE)</f>
        <v>2.1.5</v>
      </c>
      <c r="C190" s="2421" t="str">
        <f>VLOOKUP(A198,'12 - FINANCEIRA'!_xlnm.Print_Area,3,FALSE)</f>
        <v>Compactação de aterros a 100% do Proctor intermediário</v>
      </c>
      <c r="D190" s="2479" t="s">
        <v>97</v>
      </c>
      <c r="E190" s="2480"/>
      <c r="F190" s="2480"/>
      <c r="G190" s="2480"/>
      <c r="H190" s="2480"/>
      <c r="I190" s="2481"/>
      <c r="J190" s="2416" t="s">
        <v>98</v>
      </c>
      <c r="K190" s="2416" t="s">
        <v>102</v>
      </c>
      <c r="L190" s="2416" t="s">
        <v>103</v>
      </c>
      <c r="M190" s="2416" t="s">
        <v>228</v>
      </c>
      <c r="N190" s="2416" t="s">
        <v>229</v>
      </c>
      <c r="O190" s="2416" t="s">
        <v>107</v>
      </c>
      <c r="P190" s="496" t="s">
        <v>153</v>
      </c>
      <c r="Q190" s="2416" t="s">
        <v>16</v>
      </c>
      <c r="R190" s="2425" t="s">
        <v>2</v>
      </c>
      <c r="S190" s="2416" t="s">
        <v>99</v>
      </c>
      <c r="T190" s="2416" t="s">
        <v>17</v>
      </c>
      <c r="U190" s="2428" t="s">
        <v>362</v>
      </c>
      <c r="V190" s="870">
        <f t="shared" ref="V190:V197" si="20">V191</f>
        <v>0</v>
      </c>
      <c r="W190" s="26"/>
      <c r="X190" s="26"/>
      <c r="Y190" s="26"/>
      <c r="Z190" s="27"/>
      <c r="AA190" s="9"/>
      <c r="AB190" s="9"/>
      <c r="AC190" s="9"/>
      <c r="AD190" s="9"/>
      <c r="AE190" s="9"/>
      <c r="AF190" s="9"/>
      <c r="AG190" s="9"/>
      <c r="AH190" s="9"/>
      <c r="AI190" s="9"/>
      <c r="AJ190" s="9"/>
    </row>
    <row r="191" spans="1:36" s="497" customFormat="1" ht="15.75" hidden="1">
      <c r="A191" s="495"/>
      <c r="B191" s="2471" t="e">
        <f>LEFT(#REF!,5)</f>
        <v>#REF!</v>
      </c>
      <c r="C191" s="2472" t="e">
        <f>VLOOKUP(LEFT(#REF!,5),'12 - FINANCEIRA'!_xlnm.Print_Area,2,FALSE)</f>
        <v>#REF!</v>
      </c>
      <c r="D191" s="2430" t="s">
        <v>14</v>
      </c>
      <c r="E191" s="2431"/>
      <c r="F191" s="2432"/>
      <c r="G191" s="2433" t="s">
        <v>15</v>
      </c>
      <c r="H191" s="2434"/>
      <c r="I191" s="2435"/>
      <c r="J191" s="2427"/>
      <c r="K191" s="2427"/>
      <c r="L191" s="2427"/>
      <c r="M191" s="2427"/>
      <c r="N191" s="2427"/>
      <c r="O191" s="2427"/>
      <c r="P191" s="498" t="s">
        <v>104</v>
      </c>
      <c r="Q191" s="2427"/>
      <c r="R191" s="2426"/>
      <c r="S191" s="2427"/>
      <c r="T191" s="2427"/>
      <c r="U191" s="2429"/>
      <c r="V191" s="870">
        <f t="shared" si="20"/>
        <v>0</v>
      </c>
      <c r="W191" s="26"/>
      <c r="X191" s="26"/>
      <c r="Y191" s="26"/>
      <c r="Z191" s="27"/>
      <c r="AA191" s="9"/>
      <c r="AB191" s="9"/>
      <c r="AC191" s="9"/>
      <c r="AD191" s="9"/>
      <c r="AE191" s="9"/>
      <c r="AF191" s="9"/>
      <c r="AG191" s="9"/>
      <c r="AH191" s="9"/>
      <c r="AI191" s="9"/>
      <c r="AJ191" s="9"/>
    </row>
    <row r="192" spans="1:36" s="9" customFormat="1" ht="15" hidden="1">
      <c r="A192" s="944"/>
      <c r="B192" s="922"/>
      <c r="C192" s="58"/>
      <c r="D192" s="82"/>
      <c r="E192" s="44"/>
      <c r="F192" s="83"/>
      <c r="G192" s="43"/>
      <c r="H192" s="44"/>
      <c r="I192" s="45"/>
      <c r="J192" s="46"/>
      <c r="K192" s="47"/>
      <c r="L192" s="48"/>
      <c r="M192" s="49"/>
      <c r="N192" s="211"/>
      <c r="O192" s="50"/>
      <c r="P192" s="48"/>
      <c r="Q192" s="209"/>
      <c r="R192" s="535"/>
      <c r="S192" s="876"/>
      <c r="T192" s="90"/>
      <c r="U192" s="39"/>
      <c r="V192" s="870">
        <f t="shared" si="20"/>
        <v>0</v>
      </c>
      <c r="W192" s="26"/>
      <c r="X192" s="26"/>
      <c r="Y192" s="26"/>
      <c r="Z192" s="27"/>
      <c r="AA192" s="41"/>
      <c r="AB192" s="42"/>
    </row>
    <row r="193" spans="1:36" s="9" customFormat="1" ht="15" hidden="1">
      <c r="A193" s="944"/>
      <c r="B193" s="922"/>
      <c r="C193" s="58"/>
      <c r="D193" s="82"/>
      <c r="E193" s="44"/>
      <c r="F193" s="83"/>
      <c r="G193" s="43"/>
      <c r="H193" s="44"/>
      <c r="I193" s="45"/>
      <c r="J193" s="46"/>
      <c r="K193" s="47"/>
      <c r="L193" s="48"/>
      <c r="M193" s="49"/>
      <c r="N193" s="211"/>
      <c r="O193" s="50"/>
      <c r="P193" s="48"/>
      <c r="Q193" s="209"/>
      <c r="R193" s="168"/>
      <c r="S193" s="536"/>
      <c r="T193" s="90"/>
      <c r="U193" s="39"/>
      <c r="V193" s="870">
        <f t="shared" si="20"/>
        <v>0</v>
      </c>
      <c r="W193" s="26"/>
      <c r="X193" s="26"/>
      <c r="Y193" s="26"/>
      <c r="Z193" s="27"/>
      <c r="AA193" s="41"/>
      <c r="AB193" s="42"/>
    </row>
    <row r="194" spans="1:36" s="8" customFormat="1" ht="15" hidden="1">
      <c r="A194" s="516"/>
      <c r="B194" s="922"/>
      <c r="C194" s="58"/>
      <c r="D194" s="82"/>
      <c r="E194" s="44"/>
      <c r="F194" s="83"/>
      <c r="G194" s="43"/>
      <c r="H194" s="44"/>
      <c r="I194" s="45"/>
      <c r="J194" s="46"/>
      <c r="K194" s="47"/>
      <c r="L194" s="48"/>
      <c r="M194" s="49"/>
      <c r="N194" s="50"/>
      <c r="O194" s="50"/>
      <c r="P194" s="48"/>
      <c r="Q194" s="53"/>
      <c r="R194" s="887"/>
      <c r="S194" s="180"/>
      <c r="T194" s="90"/>
      <c r="U194" s="39"/>
      <c r="V194" s="870">
        <f t="shared" si="20"/>
        <v>0</v>
      </c>
      <c r="W194" s="938"/>
      <c r="X194" s="938"/>
      <c r="Y194" s="938"/>
      <c r="Z194" s="939"/>
    </row>
    <row r="195" spans="1:36" s="8" customFormat="1" ht="15" hidden="1">
      <c r="A195" s="516"/>
      <c r="B195" s="59"/>
      <c r="C195" s="60"/>
      <c r="D195" s="82"/>
      <c r="E195" s="44"/>
      <c r="F195" s="83"/>
      <c r="G195" s="43"/>
      <c r="H195" s="44"/>
      <c r="I195" s="45"/>
      <c r="J195" s="46"/>
      <c r="K195" s="47"/>
      <c r="L195" s="48"/>
      <c r="M195" s="49"/>
      <c r="N195" s="50"/>
      <c r="O195" s="50"/>
      <c r="P195" s="48"/>
      <c r="Q195" s="53"/>
      <c r="R195" s="517"/>
      <c r="S195" s="54"/>
      <c r="T195" s="518"/>
      <c r="U195" s="71"/>
      <c r="V195" s="870">
        <f t="shared" si="20"/>
        <v>0</v>
      </c>
      <c r="AB195" s="15"/>
    </row>
    <row r="196" spans="1:36" s="8" customFormat="1" ht="15.75" hidden="1">
      <c r="A196" s="516"/>
      <c r="B196" s="877"/>
      <c r="C196" s="113"/>
      <c r="D196" s="2436" t="s">
        <v>18</v>
      </c>
      <c r="E196" s="2437"/>
      <c r="F196" s="2437"/>
      <c r="G196" s="2437"/>
      <c r="H196" s="2437"/>
      <c r="I196" s="2438"/>
      <c r="J196" s="2439">
        <f>VLOOKUP(A198,'12 - FINANCEIRA'!_xlnm.Print_Area,6,FALSE)</f>
        <v>1942.89</v>
      </c>
      <c r="K196" s="2440"/>
      <c r="L196" s="519" t="str">
        <f>VLOOKUP(A198,'12 - FINANCEIRA'!_xlnm.Print_Area,4,FALSE)</f>
        <v>m³</v>
      </c>
      <c r="M196" s="2441" t="s">
        <v>19</v>
      </c>
      <c r="N196" s="2442"/>
      <c r="O196" s="2442"/>
      <c r="P196" s="2442"/>
      <c r="Q196" s="2443"/>
      <c r="R196" s="878">
        <f>SUM(R192:R195)</f>
        <v>0</v>
      </c>
      <c r="S196" s="520" t="str">
        <f>L196</f>
        <v>m³</v>
      </c>
      <c r="T196" s="680"/>
      <c r="U196" s="663"/>
      <c r="V196" s="870">
        <f t="shared" si="20"/>
        <v>0</v>
      </c>
      <c r="AB196" s="15"/>
    </row>
    <row r="197" spans="1:36" s="8" customFormat="1" ht="15.75" hidden="1">
      <c r="A197" s="516"/>
      <c r="B197" s="877"/>
      <c r="C197" s="681"/>
      <c r="D197" s="2444" t="s">
        <v>20</v>
      </c>
      <c r="E197" s="2445"/>
      <c r="F197" s="2445"/>
      <c r="G197" s="2445"/>
      <c r="H197" s="2445"/>
      <c r="I197" s="2446"/>
      <c r="J197" s="2450">
        <f>R196/J196</f>
        <v>0</v>
      </c>
      <c r="K197" s="2451"/>
      <c r="L197" s="2454"/>
      <c r="M197" s="2441" t="s">
        <v>21</v>
      </c>
      <c r="N197" s="2442"/>
      <c r="O197" s="2442"/>
      <c r="P197" s="2442"/>
      <c r="Q197" s="2443"/>
      <c r="R197" s="878">
        <f>VLOOKUP(A198,'12 - FINANCEIRA'!_xlnm.Print_Area,8,FALSE)</f>
        <v>0</v>
      </c>
      <c r="S197" s="879" t="str">
        <f>L196</f>
        <v>m³</v>
      </c>
      <c r="T197" s="680"/>
      <c r="U197" s="663"/>
      <c r="V197" s="870">
        <f t="shared" si="20"/>
        <v>0</v>
      </c>
      <c r="AB197" s="15"/>
    </row>
    <row r="198" spans="1:36" s="8" customFormat="1" ht="15.75" hidden="1">
      <c r="A198" s="516" t="s">
        <v>456</v>
      </c>
      <c r="B198" s="877"/>
      <c r="C198" s="113"/>
      <c r="D198" s="2447"/>
      <c r="E198" s="2448"/>
      <c r="F198" s="2448"/>
      <c r="G198" s="2448"/>
      <c r="H198" s="2448"/>
      <c r="I198" s="2449"/>
      <c r="J198" s="2452"/>
      <c r="K198" s="2453"/>
      <c r="L198" s="2455"/>
      <c r="M198" s="2456" t="s">
        <v>22</v>
      </c>
      <c r="N198" s="2457"/>
      <c r="O198" s="2457"/>
      <c r="P198" s="2457"/>
      <c r="Q198" s="2458"/>
      <c r="R198" s="521">
        <f>R196-R197</f>
        <v>0</v>
      </c>
      <c r="S198" s="522" t="str">
        <f>L196</f>
        <v>m³</v>
      </c>
      <c r="T198" s="680"/>
      <c r="U198" s="663"/>
      <c r="V198" s="870">
        <f>R198</f>
        <v>0</v>
      </c>
      <c r="AB198" s="15"/>
    </row>
    <row r="199" spans="1:36" s="8" customFormat="1" ht="15.75" hidden="1">
      <c r="A199" s="516"/>
      <c r="B199" s="523"/>
      <c r="C199" s="524"/>
      <c r="D199" s="526"/>
      <c r="E199" s="526"/>
      <c r="F199" s="526"/>
      <c r="G199" s="525"/>
      <c r="H199" s="525"/>
      <c r="I199" s="525"/>
      <c r="J199" s="527"/>
      <c r="K199" s="528"/>
      <c r="L199" s="529"/>
      <c r="M199" s="530"/>
      <c r="N199" s="530"/>
      <c r="O199" s="530"/>
      <c r="P199" s="530"/>
      <c r="Q199" s="530"/>
      <c r="R199" s="531"/>
      <c r="S199" s="532"/>
      <c r="T199" s="533"/>
      <c r="U199" s="534"/>
      <c r="V199" s="871">
        <f>SUM(V190:V198)</f>
        <v>0</v>
      </c>
      <c r="AB199" s="15"/>
    </row>
    <row r="200" spans="1:36" s="497" customFormat="1" ht="15.75">
      <c r="A200" s="495"/>
      <c r="B200" s="2423" t="str">
        <f>VLOOKUP(A208,'12 - FINANCEIRA'!_xlnm.Print_Area,1,FALSE)</f>
        <v>2.1.6</v>
      </c>
      <c r="C200" s="2421" t="str">
        <f>VLOOKUP(A208,'12 - FINANCEIRA'!_xlnm.Print_Area,3,FALSE)</f>
        <v>Base ou sub-base de brita graduada executada com vibroacabadora - brita comercial</v>
      </c>
      <c r="D200" s="2479" t="s">
        <v>97</v>
      </c>
      <c r="E200" s="2480"/>
      <c r="F200" s="2480"/>
      <c r="G200" s="2480"/>
      <c r="H200" s="2480"/>
      <c r="I200" s="2481"/>
      <c r="J200" s="2416" t="s">
        <v>98</v>
      </c>
      <c r="K200" s="2416" t="s">
        <v>102</v>
      </c>
      <c r="L200" s="2416" t="s">
        <v>103</v>
      </c>
      <c r="M200" s="2416" t="s">
        <v>228</v>
      </c>
      <c r="N200" s="2416" t="s">
        <v>229</v>
      </c>
      <c r="O200" s="2416" t="s">
        <v>107</v>
      </c>
      <c r="P200" s="496" t="s">
        <v>153</v>
      </c>
      <c r="Q200" s="2416" t="s">
        <v>16</v>
      </c>
      <c r="R200" s="2425" t="s">
        <v>2</v>
      </c>
      <c r="S200" s="2416" t="s">
        <v>99</v>
      </c>
      <c r="T200" s="2416" t="s">
        <v>17</v>
      </c>
      <c r="U200" s="2428" t="s">
        <v>362</v>
      </c>
      <c r="V200" s="870">
        <f t="shared" ref="V200:V207" si="21">V201</f>
        <v>604.12400000000002</v>
      </c>
      <c r="W200" s="26"/>
      <c r="X200" s="26"/>
      <c r="Y200" s="26"/>
      <c r="Z200" s="27"/>
      <c r="AA200" s="9"/>
      <c r="AB200" s="9"/>
      <c r="AC200" s="9"/>
      <c r="AD200" s="9"/>
      <c r="AE200" s="9"/>
      <c r="AF200" s="9"/>
      <c r="AG200" s="9"/>
      <c r="AH200" s="9"/>
      <c r="AI200" s="9"/>
      <c r="AJ200" s="9"/>
    </row>
    <row r="201" spans="1:36" s="497" customFormat="1" ht="15.75">
      <c r="A201" s="495"/>
      <c r="B201" s="2471" t="e">
        <f>LEFT(#REF!,5)</f>
        <v>#REF!</v>
      </c>
      <c r="C201" s="2472" t="e">
        <f>VLOOKUP(LEFT(#REF!,5),'12 - FINANCEIRA'!_xlnm.Print_Area,2,FALSE)</f>
        <v>#REF!</v>
      </c>
      <c r="D201" s="2430" t="s">
        <v>14</v>
      </c>
      <c r="E201" s="2431"/>
      <c r="F201" s="2432"/>
      <c r="G201" s="2433" t="s">
        <v>15</v>
      </c>
      <c r="H201" s="2434"/>
      <c r="I201" s="2435"/>
      <c r="J201" s="2427"/>
      <c r="K201" s="2427"/>
      <c r="L201" s="2427"/>
      <c r="M201" s="2427"/>
      <c r="N201" s="2427"/>
      <c r="O201" s="2427"/>
      <c r="P201" s="498" t="s">
        <v>104</v>
      </c>
      <c r="Q201" s="2427"/>
      <c r="R201" s="2426"/>
      <c r="S201" s="2427"/>
      <c r="T201" s="2427"/>
      <c r="U201" s="2429"/>
      <c r="V201" s="870">
        <f t="shared" si="21"/>
        <v>604.12400000000002</v>
      </c>
      <c r="W201" s="26"/>
      <c r="X201" s="26"/>
      <c r="Y201" s="26"/>
      <c r="Z201" s="27"/>
      <c r="AA201" s="9"/>
      <c r="AB201" s="9"/>
      <c r="AC201" s="9"/>
      <c r="AD201" s="9"/>
      <c r="AE201" s="9"/>
      <c r="AF201" s="9"/>
      <c r="AG201" s="9"/>
      <c r="AH201" s="9"/>
      <c r="AI201" s="9"/>
      <c r="AJ201" s="9"/>
    </row>
    <row r="202" spans="1:36" s="507" customFormat="1" ht="30">
      <c r="A202" s="499"/>
      <c r="B202" s="500"/>
      <c r="C202" s="79" t="s">
        <v>475</v>
      </c>
      <c r="D202" s="962">
        <v>100</v>
      </c>
      <c r="E202" s="963" t="s">
        <v>68</v>
      </c>
      <c r="F202" s="964">
        <v>0</v>
      </c>
      <c r="G202" s="965">
        <v>109</v>
      </c>
      <c r="H202" s="963" t="s">
        <v>68</v>
      </c>
      <c r="I202" s="966">
        <v>14.75</v>
      </c>
      <c r="J202" s="1600" t="s">
        <v>906</v>
      </c>
      <c r="K202" s="1529">
        <f>(G202-D202)*20+I202-F202</f>
        <v>194.75</v>
      </c>
      <c r="L202" s="134">
        <v>7</v>
      </c>
      <c r="M202" s="136">
        <v>0.15</v>
      </c>
      <c r="N202" s="1536">
        <f>K202*L202</f>
        <v>1363.25</v>
      </c>
      <c r="O202" s="1537">
        <f>TRUNC(K202*L202*M202,3)</f>
        <v>204.48699999999999</v>
      </c>
      <c r="P202" s="134"/>
      <c r="Q202" s="225"/>
      <c r="R202" s="502">
        <f>TRUNC(O202,3)</f>
        <v>204.48699999999999</v>
      </c>
      <c r="S202" s="841" t="s">
        <v>5</v>
      </c>
      <c r="T202" s="262" t="s">
        <v>90</v>
      </c>
      <c r="U202" s="212"/>
      <c r="V202" s="870">
        <f t="shared" si="21"/>
        <v>604.12400000000002</v>
      </c>
      <c r="W202" s="503"/>
      <c r="X202" s="503"/>
      <c r="Y202" s="503"/>
      <c r="Z202" s="504"/>
      <c r="AA202" s="505"/>
      <c r="AB202" s="506"/>
    </row>
    <row r="203" spans="1:36" s="507" customFormat="1" ht="30">
      <c r="A203" s="499"/>
      <c r="B203" s="500"/>
      <c r="C203" s="79" t="s">
        <v>475</v>
      </c>
      <c r="D203" s="962">
        <v>109</v>
      </c>
      <c r="E203" s="963" t="s">
        <v>68</v>
      </c>
      <c r="F203" s="964">
        <v>0</v>
      </c>
      <c r="G203" s="965">
        <v>113</v>
      </c>
      <c r="H203" s="963" t="s">
        <v>68</v>
      </c>
      <c r="I203" s="966">
        <v>14.75</v>
      </c>
      <c r="J203" s="1480" t="s">
        <v>906</v>
      </c>
      <c r="K203" s="1599">
        <f>(G203-D203)*20+I203-F203</f>
        <v>94.75</v>
      </c>
      <c r="L203" s="134">
        <v>3</v>
      </c>
      <c r="M203" s="136">
        <v>0.15</v>
      </c>
      <c r="N203" s="1536">
        <f>L203*K203</f>
        <v>284.25</v>
      </c>
      <c r="O203" s="1484">
        <f t="shared" ref="O203:O204" si="22">TRUNC(K203*L203*M203,3)</f>
        <v>42.637</v>
      </c>
      <c r="P203" s="134"/>
      <c r="Q203" s="225"/>
      <c r="R203" s="1418">
        <f>TRUNC(O203,3)</f>
        <v>42.637</v>
      </c>
      <c r="S203" s="509" t="s">
        <v>5</v>
      </c>
      <c r="T203" s="262" t="s">
        <v>90</v>
      </c>
      <c r="U203" s="212"/>
      <c r="V203" s="870">
        <f t="shared" si="21"/>
        <v>604.12400000000002</v>
      </c>
      <c r="W203" s="503"/>
      <c r="X203" s="503"/>
      <c r="Y203" s="503"/>
      <c r="Z203" s="504"/>
      <c r="AA203" s="505"/>
      <c r="AB203" s="506"/>
    </row>
    <row r="204" spans="1:36" s="507" customFormat="1" ht="30">
      <c r="A204" s="499"/>
      <c r="B204" s="500"/>
      <c r="C204" s="79" t="s">
        <v>475</v>
      </c>
      <c r="D204" s="156">
        <v>0</v>
      </c>
      <c r="E204" s="86" t="s">
        <v>68</v>
      </c>
      <c r="F204" s="155">
        <v>0</v>
      </c>
      <c r="G204" s="85">
        <v>17</v>
      </c>
      <c r="H204" s="86" t="s">
        <v>68</v>
      </c>
      <c r="I204" s="87">
        <v>0</v>
      </c>
      <c r="J204" s="1480" t="s">
        <v>906</v>
      </c>
      <c r="K204" s="1599">
        <f>(G204-D204)*20+I204-F204</f>
        <v>340</v>
      </c>
      <c r="L204" s="134">
        <v>7</v>
      </c>
      <c r="M204" s="136">
        <v>0.15</v>
      </c>
      <c r="N204" s="1536">
        <f>L204*K204</f>
        <v>2380</v>
      </c>
      <c r="O204" s="1537">
        <f t="shared" si="22"/>
        <v>357</v>
      </c>
      <c r="P204" s="134"/>
      <c r="Q204" s="225"/>
      <c r="R204" s="508">
        <f>TRUNC(O204,3)</f>
        <v>357</v>
      </c>
      <c r="S204" s="509" t="s">
        <v>5</v>
      </c>
      <c r="T204" s="262" t="s">
        <v>90</v>
      </c>
      <c r="U204" s="212"/>
      <c r="V204" s="870">
        <f t="shared" si="21"/>
        <v>604.12400000000002</v>
      </c>
      <c r="W204" s="503"/>
      <c r="X204" s="503"/>
      <c r="Y204" s="503"/>
      <c r="Z204" s="504"/>
      <c r="AA204" s="505"/>
      <c r="AB204" s="506"/>
    </row>
    <row r="205" spans="1:36" s="8" customFormat="1" ht="15">
      <c r="A205" s="516"/>
      <c r="B205" s="59"/>
      <c r="C205" s="60"/>
      <c r="D205" s="82"/>
      <c r="E205" s="44"/>
      <c r="F205" s="83"/>
      <c r="G205" s="43"/>
      <c r="H205" s="44"/>
      <c r="I205" s="45"/>
      <c r="J205" s="46"/>
      <c r="K205" s="47"/>
      <c r="L205" s="48"/>
      <c r="M205" s="49"/>
      <c r="N205" s="50"/>
      <c r="O205" s="50"/>
      <c r="P205" s="48"/>
      <c r="Q205" s="53"/>
      <c r="R205" s="517"/>
      <c r="S205" s="54"/>
      <c r="T205" s="518"/>
      <c r="U205" s="71"/>
      <c r="V205" s="870">
        <f t="shared" si="21"/>
        <v>604.12400000000002</v>
      </c>
      <c r="AB205" s="15"/>
    </row>
    <row r="206" spans="1:36" s="8" customFormat="1" ht="15.75">
      <c r="A206" s="516"/>
      <c r="B206" s="877"/>
      <c r="C206" s="113"/>
      <c r="D206" s="2436" t="s">
        <v>18</v>
      </c>
      <c r="E206" s="2437"/>
      <c r="F206" s="2437"/>
      <c r="G206" s="2437"/>
      <c r="H206" s="2437"/>
      <c r="I206" s="2438"/>
      <c r="J206" s="2439">
        <f>VLOOKUP(A208,'12 - FINANCEIRA'!_xlnm.Print_Area,6,FALSE)</f>
        <v>609.58000000000004</v>
      </c>
      <c r="K206" s="2440"/>
      <c r="L206" s="519" t="str">
        <f>VLOOKUP(A208,'12 - FINANCEIRA'!_xlnm.Print_Area,4,FALSE)</f>
        <v>m³</v>
      </c>
      <c r="M206" s="2441" t="s">
        <v>19</v>
      </c>
      <c r="N206" s="2442"/>
      <c r="O206" s="2442"/>
      <c r="P206" s="2442"/>
      <c r="Q206" s="2443"/>
      <c r="R206" s="878">
        <f>SUM(R202:R205)</f>
        <v>604.12400000000002</v>
      </c>
      <c r="S206" s="520" t="str">
        <f>L206</f>
        <v>m³</v>
      </c>
      <c r="T206" s="680"/>
      <c r="U206" s="663"/>
      <c r="V206" s="870">
        <f t="shared" si="21"/>
        <v>604.12400000000002</v>
      </c>
      <c r="AB206" s="15"/>
    </row>
    <row r="207" spans="1:36" s="8" customFormat="1" ht="15.75">
      <c r="A207" s="516"/>
      <c r="B207" s="877"/>
      <c r="C207" s="681"/>
      <c r="D207" s="2444" t="s">
        <v>20</v>
      </c>
      <c r="E207" s="2445"/>
      <c r="F207" s="2445"/>
      <c r="G207" s="2445"/>
      <c r="H207" s="2445"/>
      <c r="I207" s="2446"/>
      <c r="J207" s="2450">
        <f>R206/J206</f>
        <v>0.99104957511729386</v>
      </c>
      <c r="K207" s="2451"/>
      <c r="L207" s="2454"/>
      <c r="M207" s="2441" t="s">
        <v>21</v>
      </c>
      <c r="N207" s="2442"/>
      <c r="O207" s="2442"/>
      <c r="P207" s="2442"/>
      <c r="Q207" s="2443"/>
      <c r="R207" s="878">
        <f>VLOOKUP(A208,'12 - FINANCEIRA'!_xlnm.Print_Area,8,FALSE)</f>
        <v>0</v>
      </c>
      <c r="S207" s="879" t="str">
        <f>L206</f>
        <v>m³</v>
      </c>
      <c r="T207" s="680"/>
      <c r="U207" s="663"/>
      <c r="V207" s="870">
        <f t="shared" si="21"/>
        <v>604.12400000000002</v>
      </c>
      <c r="AB207" s="15"/>
    </row>
    <row r="208" spans="1:36" s="8" customFormat="1" ht="15.75">
      <c r="A208" s="516" t="s">
        <v>457</v>
      </c>
      <c r="B208" s="877"/>
      <c r="C208" s="113"/>
      <c r="D208" s="2447"/>
      <c r="E208" s="2448"/>
      <c r="F208" s="2448"/>
      <c r="G208" s="2448"/>
      <c r="H208" s="2448"/>
      <c r="I208" s="2449"/>
      <c r="J208" s="2452"/>
      <c r="K208" s="2453"/>
      <c r="L208" s="2455"/>
      <c r="M208" s="2456" t="s">
        <v>22</v>
      </c>
      <c r="N208" s="2457"/>
      <c r="O208" s="2457"/>
      <c r="P208" s="2457"/>
      <c r="Q208" s="2458"/>
      <c r="R208" s="521">
        <f>R206-R207</f>
        <v>604.12400000000002</v>
      </c>
      <c r="S208" s="522" t="str">
        <f>L206</f>
        <v>m³</v>
      </c>
      <c r="T208" s="680"/>
      <c r="U208" s="663"/>
      <c r="V208" s="870">
        <f>R208</f>
        <v>604.12400000000002</v>
      </c>
      <c r="AB208" s="15"/>
    </row>
    <row r="209" spans="1:36" s="8" customFormat="1" ht="15.75">
      <c r="A209" s="516"/>
      <c r="B209" s="523"/>
      <c r="C209" s="524"/>
      <c r="D209" s="526"/>
      <c r="E209" s="526"/>
      <c r="F209" s="526"/>
      <c r="G209" s="525"/>
      <c r="H209" s="525"/>
      <c r="I209" s="525"/>
      <c r="J209" s="527"/>
      <c r="K209" s="528"/>
      <c r="L209" s="529"/>
      <c r="M209" s="530"/>
      <c r="N209" s="530"/>
      <c r="O209" s="530"/>
      <c r="P209" s="530"/>
      <c r="Q209" s="530"/>
      <c r="R209" s="531"/>
      <c r="S209" s="532"/>
      <c r="T209" s="533"/>
      <c r="U209" s="534"/>
      <c r="V209" s="871">
        <f>SUM(V200:V208)</f>
        <v>5437.1159999999991</v>
      </c>
      <c r="AB209" s="15"/>
    </row>
    <row r="210" spans="1:36" s="497" customFormat="1" ht="15.75" hidden="1">
      <c r="A210" s="495"/>
      <c r="B210" s="2423" t="str">
        <f>VLOOKUP(A218,'12 - FINANCEIRA'!_xlnm.Print_Area,1,FALSE)</f>
        <v>2.1.7</v>
      </c>
      <c r="C210" s="2421" t="str">
        <f>VLOOKUP(A218,'12 - FINANCEIRA'!_xlnm.Print_Area,3,FALSE)</f>
        <v>Execução de pavimento com aplicação de concreto asfáltico, camada de rolamento - exclusive carga e transporte. AF-11/2019</v>
      </c>
      <c r="D210" s="2479" t="s">
        <v>97</v>
      </c>
      <c r="E210" s="2480"/>
      <c r="F210" s="2480"/>
      <c r="G210" s="2480"/>
      <c r="H210" s="2480"/>
      <c r="I210" s="2481"/>
      <c r="J210" s="2416" t="s">
        <v>98</v>
      </c>
      <c r="K210" s="2416" t="s">
        <v>102</v>
      </c>
      <c r="L210" s="2416" t="s">
        <v>103</v>
      </c>
      <c r="M210" s="2416" t="s">
        <v>228</v>
      </c>
      <c r="N210" s="2416" t="s">
        <v>229</v>
      </c>
      <c r="O210" s="2416" t="s">
        <v>107</v>
      </c>
      <c r="P210" s="496" t="s">
        <v>153</v>
      </c>
      <c r="Q210" s="2416" t="s">
        <v>16</v>
      </c>
      <c r="R210" s="2425" t="s">
        <v>2</v>
      </c>
      <c r="S210" s="2416" t="s">
        <v>99</v>
      </c>
      <c r="T210" s="2416" t="s">
        <v>17</v>
      </c>
      <c r="U210" s="2428" t="s">
        <v>362</v>
      </c>
      <c r="V210" s="870">
        <f t="shared" ref="V210:V217" si="23">V211</f>
        <v>0</v>
      </c>
      <c r="W210" s="26"/>
      <c r="X210" s="26"/>
      <c r="Y210" s="26"/>
      <c r="Z210" s="27"/>
      <c r="AA210" s="9"/>
      <c r="AB210" s="9"/>
      <c r="AC210" s="9"/>
      <c r="AD210" s="9"/>
      <c r="AE210" s="9"/>
      <c r="AF210" s="9"/>
      <c r="AG210" s="9"/>
      <c r="AH210" s="9"/>
      <c r="AI210" s="9"/>
      <c r="AJ210" s="9"/>
    </row>
    <row r="211" spans="1:36" s="497" customFormat="1" ht="15.75" hidden="1">
      <c r="A211" s="495"/>
      <c r="B211" s="2471" t="e">
        <f>LEFT(#REF!,5)</f>
        <v>#REF!</v>
      </c>
      <c r="C211" s="2472" t="e">
        <f>VLOOKUP(LEFT(#REF!,5),'12 - FINANCEIRA'!_xlnm.Print_Area,2,FALSE)</f>
        <v>#REF!</v>
      </c>
      <c r="D211" s="2430" t="s">
        <v>14</v>
      </c>
      <c r="E211" s="2431"/>
      <c r="F211" s="2432"/>
      <c r="G211" s="2433" t="s">
        <v>15</v>
      </c>
      <c r="H211" s="2434"/>
      <c r="I211" s="2435"/>
      <c r="J211" s="2427"/>
      <c r="K211" s="2427"/>
      <c r="L211" s="2427"/>
      <c r="M211" s="2427"/>
      <c r="N211" s="2427"/>
      <c r="O211" s="2427"/>
      <c r="P211" s="498" t="s">
        <v>104</v>
      </c>
      <c r="Q211" s="2427"/>
      <c r="R211" s="2426"/>
      <c r="S211" s="2427"/>
      <c r="T211" s="2427"/>
      <c r="U211" s="2429"/>
      <c r="V211" s="870">
        <f t="shared" si="23"/>
        <v>0</v>
      </c>
      <c r="W211" s="26"/>
      <c r="X211" s="26"/>
      <c r="Y211" s="26"/>
      <c r="Z211" s="27"/>
      <c r="AA211" s="9"/>
      <c r="AB211" s="9"/>
      <c r="AC211" s="9"/>
      <c r="AD211" s="9"/>
      <c r="AE211" s="9"/>
      <c r="AF211" s="9"/>
      <c r="AG211" s="9"/>
      <c r="AH211" s="9"/>
      <c r="AI211" s="9"/>
      <c r="AJ211" s="9"/>
    </row>
    <row r="212" spans="1:36" s="9" customFormat="1" ht="15" hidden="1">
      <c r="A212" s="944"/>
      <c r="B212" s="922"/>
      <c r="C212" s="58"/>
      <c r="D212" s="82"/>
      <c r="E212" s="44"/>
      <c r="F212" s="83"/>
      <c r="G212" s="43"/>
      <c r="H212" s="44"/>
      <c r="I212" s="45"/>
      <c r="J212" s="46"/>
      <c r="K212" s="47"/>
      <c r="L212" s="48"/>
      <c r="M212" s="49"/>
      <c r="N212" s="211"/>
      <c r="O212" s="50"/>
      <c r="P212" s="48"/>
      <c r="Q212" s="209"/>
      <c r="R212" s="535"/>
      <c r="S212" s="876"/>
      <c r="T212" s="90"/>
      <c r="U212" s="39"/>
      <c r="V212" s="870">
        <f t="shared" si="23"/>
        <v>0</v>
      </c>
      <c r="W212" s="26"/>
      <c r="X212" s="26"/>
      <c r="Y212" s="26"/>
      <c r="Z212" s="27"/>
      <c r="AA212" s="41"/>
      <c r="AB212" s="42"/>
    </row>
    <row r="213" spans="1:36" s="9" customFormat="1" ht="15" hidden="1">
      <c r="A213" s="944"/>
      <c r="B213" s="922"/>
      <c r="C213" s="58"/>
      <c r="D213" s="82"/>
      <c r="E213" s="44"/>
      <c r="F213" s="83"/>
      <c r="G213" s="43"/>
      <c r="H213" s="44"/>
      <c r="I213" s="45"/>
      <c r="J213" s="46"/>
      <c r="K213" s="47"/>
      <c r="L213" s="48"/>
      <c r="M213" s="49"/>
      <c r="N213" s="211"/>
      <c r="O213" s="50"/>
      <c r="P213" s="48"/>
      <c r="Q213" s="209"/>
      <c r="R213" s="168"/>
      <c r="S213" s="536"/>
      <c r="T213" s="90"/>
      <c r="U213" s="39"/>
      <c r="V213" s="870">
        <f t="shared" si="23"/>
        <v>0</v>
      </c>
      <c r="W213" s="26"/>
      <c r="X213" s="26"/>
      <c r="Y213" s="26"/>
      <c r="Z213" s="27"/>
      <c r="AA213" s="41"/>
      <c r="AB213" s="42"/>
    </row>
    <row r="214" spans="1:36" s="8" customFormat="1" ht="15" hidden="1">
      <c r="A214" s="516"/>
      <c r="B214" s="922"/>
      <c r="C214" s="58"/>
      <c r="D214" s="82"/>
      <c r="E214" s="44"/>
      <c r="F214" s="83"/>
      <c r="G214" s="43"/>
      <c r="H214" s="44"/>
      <c r="I214" s="45"/>
      <c r="J214" s="46"/>
      <c r="K214" s="47"/>
      <c r="L214" s="48"/>
      <c r="M214" s="49"/>
      <c r="N214" s="50"/>
      <c r="O214" s="50"/>
      <c r="P214" s="48"/>
      <c r="Q214" s="53"/>
      <c r="R214" s="887"/>
      <c r="S214" s="180"/>
      <c r="T214" s="90"/>
      <c r="U214" s="39"/>
      <c r="V214" s="870">
        <f t="shared" si="23"/>
        <v>0</v>
      </c>
      <c r="W214" s="938"/>
      <c r="X214" s="938"/>
      <c r="Y214" s="938"/>
      <c r="Z214" s="939"/>
    </row>
    <row r="215" spans="1:36" s="8" customFormat="1" ht="15" hidden="1">
      <c r="A215" s="516"/>
      <c r="B215" s="59"/>
      <c r="C215" s="60"/>
      <c r="D215" s="82"/>
      <c r="E215" s="44"/>
      <c r="F215" s="83"/>
      <c r="G215" s="43"/>
      <c r="H215" s="44"/>
      <c r="I215" s="45"/>
      <c r="J215" s="46"/>
      <c r="K215" s="47"/>
      <c r="L215" s="48"/>
      <c r="M215" s="49"/>
      <c r="N215" s="50"/>
      <c r="O215" s="50"/>
      <c r="P215" s="48"/>
      <c r="Q215" s="53"/>
      <c r="R215" s="517"/>
      <c r="S215" s="54"/>
      <c r="T215" s="518"/>
      <c r="U215" s="71"/>
      <c r="V215" s="870">
        <f t="shared" si="23"/>
        <v>0</v>
      </c>
      <c r="AB215" s="15"/>
    </row>
    <row r="216" spans="1:36" s="8" customFormat="1" ht="15.75" hidden="1">
      <c r="A216" s="516"/>
      <c r="B216" s="877"/>
      <c r="C216" s="113"/>
      <c r="D216" s="2436" t="s">
        <v>18</v>
      </c>
      <c r="E216" s="2437"/>
      <c r="F216" s="2437"/>
      <c r="G216" s="2437"/>
      <c r="H216" s="2437"/>
      <c r="I216" s="2438"/>
      <c r="J216" s="2439">
        <f>VLOOKUP(A218,'12 - FINANCEIRA'!_xlnm.Print_Area,6,FALSE)</f>
        <v>11.26</v>
      </c>
      <c r="K216" s="2440"/>
      <c r="L216" s="519" t="str">
        <f>VLOOKUP(A218,'12 - FINANCEIRA'!_xlnm.Print_Area,4,FALSE)</f>
        <v>m³</v>
      </c>
      <c r="M216" s="2441" t="s">
        <v>19</v>
      </c>
      <c r="N216" s="2442"/>
      <c r="O216" s="2442"/>
      <c r="P216" s="2442"/>
      <c r="Q216" s="2443"/>
      <c r="R216" s="878">
        <f>SUM(R212:R215)</f>
        <v>0</v>
      </c>
      <c r="S216" s="520" t="str">
        <f>L216</f>
        <v>m³</v>
      </c>
      <c r="T216" s="680"/>
      <c r="U216" s="663"/>
      <c r="V216" s="870">
        <f t="shared" si="23"/>
        <v>0</v>
      </c>
      <c r="AB216" s="15"/>
    </row>
    <row r="217" spans="1:36" s="8" customFormat="1" ht="15.75" hidden="1">
      <c r="A217" s="516"/>
      <c r="B217" s="877"/>
      <c r="C217" s="681"/>
      <c r="D217" s="2444" t="s">
        <v>20</v>
      </c>
      <c r="E217" s="2445"/>
      <c r="F217" s="2445"/>
      <c r="G217" s="2445"/>
      <c r="H217" s="2445"/>
      <c r="I217" s="2446"/>
      <c r="J217" s="2450">
        <f>R216/J216</f>
        <v>0</v>
      </c>
      <c r="K217" s="2451"/>
      <c r="L217" s="2454"/>
      <c r="M217" s="2441" t="s">
        <v>21</v>
      </c>
      <c r="N217" s="2442"/>
      <c r="O217" s="2442"/>
      <c r="P217" s="2442"/>
      <c r="Q217" s="2443"/>
      <c r="R217" s="878">
        <f>VLOOKUP(A218,'12 - FINANCEIRA'!_xlnm.Print_Area,8,FALSE)</f>
        <v>0</v>
      </c>
      <c r="S217" s="879" t="str">
        <f>L216</f>
        <v>m³</v>
      </c>
      <c r="T217" s="680"/>
      <c r="U217" s="663"/>
      <c r="V217" s="870">
        <f t="shared" si="23"/>
        <v>0</v>
      </c>
      <c r="AB217" s="15"/>
    </row>
    <row r="218" spans="1:36" s="8" customFormat="1" ht="15.75" hidden="1">
      <c r="A218" s="516" t="s">
        <v>458</v>
      </c>
      <c r="B218" s="877"/>
      <c r="C218" s="113"/>
      <c r="D218" s="2447"/>
      <c r="E218" s="2448"/>
      <c r="F218" s="2448"/>
      <c r="G218" s="2448"/>
      <c r="H218" s="2448"/>
      <c r="I218" s="2449"/>
      <c r="J218" s="2452"/>
      <c r="K218" s="2453"/>
      <c r="L218" s="2455"/>
      <c r="M218" s="2456" t="s">
        <v>22</v>
      </c>
      <c r="N218" s="2457"/>
      <c r="O218" s="2457"/>
      <c r="P218" s="2457"/>
      <c r="Q218" s="2458"/>
      <c r="R218" s="521">
        <f>R216-R217</f>
        <v>0</v>
      </c>
      <c r="S218" s="522" t="str">
        <f>L216</f>
        <v>m³</v>
      </c>
      <c r="T218" s="680"/>
      <c r="U218" s="663"/>
      <c r="V218" s="870">
        <f>R218</f>
        <v>0</v>
      </c>
      <c r="AB218" s="15"/>
    </row>
    <row r="219" spans="1:36" s="8" customFormat="1" ht="15.75" hidden="1">
      <c r="A219" s="516"/>
      <c r="B219" s="523"/>
      <c r="C219" s="524"/>
      <c r="D219" s="526"/>
      <c r="E219" s="526"/>
      <c r="F219" s="526"/>
      <c r="G219" s="525"/>
      <c r="H219" s="525"/>
      <c r="I219" s="525"/>
      <c r="J219" s="527"/>
      <c r="K219" s="528"/>
      <c r="L219" s="529"/>
      <c r="M219" s="530"/>
      <c r="N219" s="530"/>
      <c r="O219" s="530"/>
      <c r="P219" s="530"/>
      <c r="Q219" s="530"/>
      <c r="R219" s="531"/>
      <c r="S219" s="532"/>
      <c r="T219" s="533"/>
      <c r="U219" s="534"/>
      <c r="V219" s="871">
        <f>SUM(V210:V218)</f>
        <v>0</v>
      </c>
      <c r="AB219" s="15"/>
    </row>
    <row r="220" spans="1:36" s="497" customFormat="1" ht="15.75" hidden="1">
      <c r="A220" s="495"/>
      <c r="B220" s="2423" t="str">
        <f>VLOOKUP(A228,'12 - FINANCEIRA'!_xlnm.Print_Area,1,FALSE)</f>
        <v>2.1.8</v>
      </c>
      <c r="C220" s="2421" t="str">
        <f>VLOOKUP(A228,'12 - FINANCEIRA'!_xlnm.Print_Area,3,FALSE)</f>
        <v>Imprimação com emulsão asfáltica</v>
      </c>
      <c r="D220" s="2479" t="s">
        <v>97</v>
      </c>
      <c r="E220" s="2480"/>
      <c r="F220" s="2480"/>
      <c r="G220" s="2480"/>
      <c r="H220" s="2480"/>
      <c r="I220" s="2481"/>
      <c r="J220" s="2416" t="s">
        <v>98</v>
      </c>
      <c r="K220" s="2416" t="s">
        <v>102</v>
      </c>
      <c r="L220" s="2416" t="s">
        <v>103</v>
      </c>
      <c r="M220" s="2416" t="s">
        <v>228</v>
      </c>
      <c r="N220" s="2416" t="s">
        <v>229</v>
      </c>
      <c r="O220" s="2416" t="s">
        <v>107</v>
      </c>
      <c r="P220" s="496" t="s">
        <v>153</v>
      </c>
      <c r="Q220" s="2416" t="s">
        <v>16</v>
      </c>
      <c r="R220" s="2425" t="s">
        <v>2</v>
      </c>
      <c r="S220" s="2416" t="s">
        <v>99</v>
      </c>
      <c r="T220" s="2416" t="s">
        <v>17</v>
      </c>
      <c r="U220" s="2428" t="s">
        <v>362</v>
      </c>
      <c r="V220" s="870">
        <f t="shared" ref="V220:V227" si="24">V221</f>
        <v>0</v>
      </c>
      <c r="W220" s="26"/>
      <c r="X220" s="26"/>
      <c r="Y220" s="26"/>
      <c r="Z220" s="27"/>
      <c r="AA220" s="9"/>
      <c r="AB220" s="9"/>
      <c r="AC220" s="9"/>
      <c r="AD220" s="9"/>
      <c r="AE220" s="9"/>
      <c r="AF220" s="9"/>
      <c r="AG220" s="9"/>
      <c r="AH220" s="9"/>
      <c r="AI220" s="9"/>
      <c r="AJ220" s="9"/>
    </row>
    <row r="221" spans="1:36" s="497" customFormat="1" ht="15.75" hidden="1">
      <c r="A221" s="495"/>
      <c r="B221" s="2471" t="e">
        <f>LEFT(#REF!,5)</f>
        <v>#REF!</v>
      </c>
      <c r="C221" s="2472" t="e">
        <f>VLOOKUP(LEFT(#REF!,5),'12 - FINANCEIRA'!_xlnm.Print_Area,2,FALSE)</f>
        <v>#REF!</v>
      </c>
      <c r="D221" s="2430" t="s">
        <v>14</v>
      </c>
      <c r="E221" s="2431"/>
      <c r="F221" s="2432"/>
      <c r="G221" s="2433" t="s">
        <v>15</v>
      </c>
      <c r="H221" s="2434"/>
      <c r="I221" s="2435"/>
      <c r="J221" s="2427"/>
      <c r="K221" s="2427"/>
      <c r="L221" s="2427"/>
      <c r="M221" s="2427"/>
      <c r="N221" s="2427"/>
      <c r="O221" s="2427"/>
      <c r="P221" s="498" t="s">
        <v>104</v>
      </c>
      <c r="Q221" s="2427"/>
      <c r="R221" s="2426"/>
      <c r="S221" s="2427"/>
      <c r="T221" s="2427"/>
      <c r="U221" s="2429"/>
      <c r="V221" s="870">
        <f t="shared" si="24"/>
        <v>0</v>
      </c>
      <c r="W221" s="26"/>
      <c r="X221" s="26"/>
      <c r="Y221" s="26"/>
      <c r="Z221" s="27"/>
      <c r="AA221" s="9"/>
      <c r="AB221" s="9"/>
      <c r="AC221" s="9"/>
      <c r="AD221" s="9"/>
      <c r="AE221" s="9"/>
      <c r="AF221" s="9"/>
      <c r="AG221" s="9"/>
      <c r="AH221" s="9"/>
      <c r="AI221" s="9"/>
      <c r="AJ221" s="9"/>
    </row>
    <row r="222" spans="1:36" s="9" customFormat="1" ht="15" hidden="1">
      <c r="A222" s="944"/>
      <c r="B222" s="922"/>
      <c r="C222" s="58"/>
      <c r="D222" s="82"/>
      <c r="E222" s="44"/>
      <c r="F222" s="83"/>
      <c r="G222" s="43"/>
      <c r="H222" s="44"/>
      <c r="I222" s="45"/>
      <c r="J222" s="46"/>
      <c r="K222" s="47"/>
      <c r="L222" s="48"/>
      <c r="M222" s="49"/>
      <c r="N222" s="211"/>
      <c r="O222" s="50"/>
      <c r="P222" s="48"/>
      <c r="Q222" s="209"/>
      <c r="R222" s="535"/>
      <c r="S222" s="876"/>
      <c r="T222" s="90"/>
      <c r="U222" s="39"/>
      <c r="V222" s="870">
        <f t="shared" si="24"/>
        <v>0</v>
      </c>
      <c r="W222" s="26"/>
      <c r="X222" s="26"/>
      <c r="Y222" s="26"/>
      <c r="Z222" s="27"/>
      <c r="AA222" s="41"/>
      <c r="AB222" s="42"/>
    </row>
    <row r="223" spans="1:36" s="9" customFormat="1" ht="15" hidden="1">
      <c r="A223" s="944"/>
      <c r="B223" s="922"/>
      <c r="C223" s="58"/>
      <c r="D223" s="82"/>
      <c r="E223" s="44"/>
      <c r="F223" s="83"/>
      <c r="G223" s="43"/>
      <c r="H223" s="44"/>
      <c r="I223" s="45"/>
      <c r="J223" s="46"/>
      <c r="K223" s="47"/>
      <c r="L223" s="48"/>
      <c r="M223" s="49"/>
      <c r="N223" s="211"/>
      <c r="O223" s="50"/>
      <c r="P223" s="48"/>
      <c r="Q223" s="209"/>
      <c r="R223" s="168"/>
      <c r="S223" s="536"/>
      <c r="T223" s="90"/>
      <c r="U223" s="39"/>
      <c r="V223" s="870">
        <f t="shared" si="24"/>
        <v>0</v>
      </c>
      <c r="W223" s="26"/>
      <c r="X223" s="26"/>
      <c r="Y223" s="26"/>
      <c r="Z223" s="27"/>
      <c r="AA223" s="41"/>
      <c r="AB223" s="42"/>
    </row>
    <row r="224" spans="1:36" s="8" customFormat="1" ht="15" hidden="1">
      <c r="A224" s="516"/>
      <c r="B224" s="922"/>
      <c r="C224" s="58"/>
      <c r="D224" s="82"/>
      <c r="E224" s="44"/>
      <c r="F224" s="83"/>
      <c r="G224" s="43"/>
      <c r="H224" s="44"/>
      <c r="I224" s="45"/>
      <c r="J224" s="46"/>
      <c r="K224" s="47"/>
      <c r="L224" s="48"/>
      <c r="M224" s="49"/>
      <c r="N224" s="50"/>
      <c r="O224" s="50"/>
      <c r="P224" s="48"/>
      <c r="Q224" s="53"/>
      <c r="R224" s="887"/>
      <c r="S224" s="180"/>
      <c r="T224" s="90"/>
      <c r="U224" s="39"/>
      <c r="V224" s="870">
        <f t="shared" si="24"/>
        <v>0</v>
      </c>
      <c r="W224" s="938"/>
      <c r="X224" s="938"/>
      <c r="Y224" s="938"/>
      <c r="Z224" s="939"/>
    </row>
    <row r="225" spans="1:36" s="8" customFormat="1" ht="15" hidden="1">
      <c r="A225" s="516"/>
      <c r="B225" s="59"/>
      <c r="C225" s="60"/>
      <c r="D225" s="82"/>
      <c r="E225" s="44"/>
      <c r="F225" s="83"/>
      <c r="G225" s="43"/>
      <c r="H225" s="44"/>
      <c r="I225" s="45"/>
      <c r="J225" s="46"/>
      <c r="K225" s="47"/>
      <c r="L225" s="48"/>
      <c r="M225" s="49"/>
      <c r="N225" s="50"/>
      <c r="O225" s="50"/>
      <c r="P225" s="48"/>
      <c r="Q225" s="53"/>
      <c r="R225" s="517"/>
      <c r="S225" s="54"/>
      <c r="T225" s="518"/>
      <c r="U225" s="71"/>
      <c r="V225" s="870">
        <f t="shared" si="24"/>
        <v>0</v>
      </c>
      <c r="AB225" s="15"/>
    </row>
    <row r="226" spans="1:36" s="8" customFormat="1" ht="15.75" hidden="1">
      <c r="A226" s="516"/>
      <c r="B226" s="877"/>
      <c r="C226" s="113"/>
      <c r="D226" s="2436" t="s">
        <v>18</v>
      </c>
      <c r="E226" s="2437"/>
      <c r="F226" s="2437"/>
      <c r="G226" s="2437"/>
      <c r="H226" s="2437"/>
      <c r="I226" s="2438"/>
      <c r="J226" s="2439">
        <f>VLOOKUP(A228,'12 - FINANCEIRA'!_xlnm.Print_Area,6,FALSE)</f>
        <v>225.2</v>
      </c>
      <c r="K226" s="2440"/>
      <c r="L226" s="519" t="str">
        <f>VLOOKUP(A228,'12 - FINANCEIRA'!_xlnm.Print_Area,4,FALSE)</f>
        <v>m²</v>
      </c>
      <c r="M226" s="2441" t="s">
        <v>19</v>
      </c>
      <c r="N226" s="2442"/>
      <c r="O226" s="2442"/>
      <c r="P226" s="2442"/>
      <c r="Q226" s="2443"/>
      <c r="R226" s="878">
        <f>SUM(R222:R225)</f>
        <v>0</v>
      </c>
      <c r="S226" s="520" t="str">
        <f>L226</f>
        <v>m²</v>
      </c>
      <c r="T226" s="680"/>
      <c r="U226" s="663"/>
      <c r="V226" s="870">
        <f t="shared" si="24"/>
        <v>0</v>
      </c>
      <c r="AB226" s="15"/>
    </row>
    <row r="227" spans="1:36" s="8" customFormat="1" ht="15.75" hidden="1">
      <c r="A227" s="516"/>
      <c r="B227" s="877"/>
      <c r="C227" s="681"/>
      <c r="D227" s="2444" t="s">
        <v>20</v>
      </c>
      <c r="E227" s="2445"/>
      <c r="F227" s="2445"/>
      <c r="G227" s="2445"/>
      <c r="H227" s="2445"/>
      <c r="I227" s="2446"/>
      <c r="J227" s="2450">
        <f>R226/J226</f>
        <v>0</v>
      </c>
      <c r="K227" s="2451"/>
      <c r="L227" s="2454"/>
      <c r="M227" s="2441" t="s">
        <v>21</v>
      </c>
      <c r="N227" s="2442"/>
      <c r="O227" s="2442"/>
      <c r="P227" s="2442"/>
      <c r="Q227" s="2443"/>
      <c r="R227" s="878">
        <f>VLOOKUP(A228,'12 - FINANCEIRA'!_xlnm.Print_Area,8,FALSE)</f>
        <v>0</v>
      </c>
      <c r="S227" s="879" t="str">
        <f>L226</f>
        <v>m²</v>
      </c>
      <c r="T227" s="680"/>
      <c r="U227" s="663"/>
      <c r="V227" s="870">
        <f t="shared" si="24"/>
        <v>0</v>
      </c>
      <c r="AB227" s="15"/>
    </row>
    <row r="228" spans="1:36" s="8" customFormat="1" ht="15.75" hidden="1">
      <c r="A228" s="516" t="s">
        <v>459</v>
      </c>
      <c r="B228" s="877"/>
      <c r="C228" s="113"/>
      <c r="D228" s="2447"/>
      <c r="E228" s="2448"/>
      <c r="F228" s="2448"/>
      <c r="G228" s="2448"/>
      <c r="H228" s="2448"/>
      <c r="I228" s="2449"/>
      <c r="J228" s="2452"/>
      <c r="K228" s="2453"/>
      <c r="L228" s="2455"/>
      <c r="M228" s="2456" t="s">
        <v>22</v>
      </c>
      <c r="N228" s="2457"/>
      <c r="O228" s="2457"/>
      <c r="P228" s="2457"/>
      <c r="Q228" s="2458"/>
      <c r="R228" s="521">
        <f>R226-R227</f>
        <v>0</v>
      </c>
      <c r="S228" s="522" t="str">
        <f>L226</f>
        <v>m²</v>
      </c>
      <c r="T228" s="680"/>
      <c r="U228" s="663"/>
      <c r="V228" s="870">
        <f>R228</f>
        <v>0</v>
      </c>
      <c r="AB228" s="15"/>
    </row>
    <row r="229" spans="1:36" s="8" customFormat="1" ht="15.75" hidden="1">
      <c r="A229" s="516"/>
      <c r="B229" s="523"/>
      <c r="C229" s="524"/>
      <c r="D229" s="526"/>
      <c r="E229" s="526"/>
      <c r="F229" s="526"/>
      <c r="G229" s="525"/>
      <c r="H229" s="525"/>
      <c r="I229" s="525"/>
      <c r="J229" s="527"/>
      <c r="K229" s="528"/>
      <c r="L229" s="529"/>
      <c r="M229" s="530"/>
      <c r="N229" s="530"/>
      <c r="O229" s="530"/>
      <c r="P229" s="530"/>
      <c r="Q229" s="530"/>
      <c r="R229" s="531"/>
      <c r="S229" s="532"/>
      <c r="T229" s="533"/>
      <c r="U229" s="534"/>
      <c r="V229" s="871">
        <f>SUM(V220:V228)</f>
        <v>0</v>
      </c>
      <c r="AB229" s="15"/>
    </row>
    <row r="230" spans="1:36" s="497" customFormat="1" ht="15.75" hidden="1">
      <c r="A230" s="495"/>
      <c r="B230" s="2423" t="str">
        <f>VLOOKUP(A238,'12 - FINANCEIRA'!_xlnm.Print_Area,1,FALSE)</f>
        <v>2.1.9</v>
      </c>
      <c r="C230" s="2421" t="str">
        <f>VLOOKUP(A238,'12 - FINANCEIRA'!_xlnm.Print_Area,3,FALSE)</f>
        <v>Destinação Final de Resíduos Classe II A em aterro sanitário controlado - BDI = 14,02 - BDI = 14,01</v>
      </c>
      <c r="D230" s="2479" t="s">
        <v>97</v>
      </c>
      <c r="E230" s="2480"/>
      <c r="F230" s="2480"/>
      <c r="G230" s="2480"/>
      <c r="H230" s="2480"/>
      <c r="I230" s="2481"/>
      <c r="J230" s="2416" t="s">
        <v>98</v>
      </c>
      <c r="K230" s="2416" t="s">
        <v>102</v>
      </c>
      <c r="L230" s="2416" t="s">
        <v>103</v>
      </c>
      <c r="M230" s="2416" t="s">
        <v>228</v>
      </c>
      <c r="N230" s="2416" t="s">
        <v>229</v>
      </c>
      <c r="O230" s="2416" t="s">
        <v>107</v>
      </c>
      <c r="P230" s="496" t="s">
        <v>153</v>
      </c>
      <c r="Q230" s="2416" t="s">
        <v>16</v>
      </c>
      <c r="R230" s="2425" t="s">
        <v>2</v>
      </c>
      <c r="S230" s="2416" t="s">
        <v>99</v>
      </c>
      <c r="T230" s="2416" t="s">
        <v>17</v>
      </c>
      <c r="U230" s="2428" t="s">
        <v>362</v>
      </c>
      <c r="V230" s="870">
        <f t="shared" ref="V230:V237" si="25">V231</f>
        <v>0</v>
      </c>
      <c r="W230" s="26"/>
      <c r="X230" s="26"/>
      <c r="Y230" s="26"/>
      <c r="Z230" s="27"/>
      <c r="AA230" s="9"/>
      <c r="AB230" s="9"/>
      <c r="AC230" s="9"/>
      <c r="AD230" s="9"/>
      <c r="AE230" s="9"/>
      <c r="AF230" s="9"/>
      <c r="AG230" s="9"/>
      <c r="AH230" s="9"/>
      <c r="AI230" s="9"/>
      <c r="AJ230" s="9"/>
    </row>
    <row r="231" spans="1:36" s="497" customFormat="1" ht="15.75" hidden="1">
      <c r="A231" s="495"/>
      <c r="B231" s="2471" t="e">
        <f>LEFT(#REF!,5)</f>
        <v>#REF!</v>
      </c>
      <c r="C231" s="2472" t="e">
        <f>VLOOKUP(LEFT(#REF!,5),'12 - FINANCEIRA'!_xlnm.Print_Area,2,FALSE)</f>
        <v>#REF!</v>
      </c>
      <c r="D231" s="2430" t="s">
        <v>14</v>
      </c>
      <c r="E231" s="2431"/>
      <c r="F231" s="2432"/>
      <c r="G231" s="2433" t="s">
        <v>15</v>
      </c>
      <c r="H231" s="2434"/>
      <c r="I231" s="2435"/>
      <c r="J231" s="2427"/>
      <c r="K231" s="2427"/>
      <c r="L231" s="2427"/>
      <c r="M231" s="2427"/>
      <c r="N231" s="2427"/>
      <c r="O231" s="2427"/>
      <c r="P231" s="498" t="s">
        <v>104</v>
      </c>
      <c r="Q231" s="2427"/>
      <c r="R231" s="2426"/>
      <c r="S231" s="2427"/>
      <c r="T231" s="2427"/>
      <c r="U231" s="2429"/>
      <c r="V231" s="870">
        <f t="shared" si="25"/>
        <v>0</v>
      </c>
      <c r="W231" s="26"/>
      <c r="X231" s="26"/>
      <c r="Y231" s="26"/>
      <c r="Z231" s="27"/>
      <c r="AA231" s="9"/>
      <c r="AB231" s="9"/>
      <c r="AC231" s="9"/>
      <c r="AD231" s="9"/>
      <c r="AE231" s="9"/>
      <c r="AF231" s="9"/>
      <c r="AG231" s="9"/>
      <c r="AH231" s="9"/>
      <c r="AI231" s="9"/>
      <c r="AJ231" s="9"/>
    </row>
    <row r="232" spans="1:36" s="9" customFormat="1" ht="15" hidden="1">
      <c r="A232" s="944"/>
      <c r="B232" s="922"/>
      <c r="C232" s="1420"/>
      <c r="D232" s="962"/>
      <c r="E232" s="963"/>
      <c r="F232" s="964"/>
      <c r="G232" s="965"/>
      <c r="H232" s="963"/>
      <c r="I232" s="966"/>
      <c r="J232" s="1421"/>
      <c r="K232" s="1422"/>
      <c r="L232" s="1423"/>
      <c r="M232" s="1424"/>
      <c r="N232" s="1425"/>
      <c r="O232" s="1426"/>
      <c r="P232" s="215"/>
      <c r="Q232" s="971"/>
      <c r="R232" s="1428">
        <v>267.084</v>
      </c>
      <c r="S232" s="1429" t="s">
        <v>6</v>
      </c>
      <c r="T232" s="1430" t="s">
        <v>85</v>
      </c>
      <c r="U232" s="1431" t="s">
        <v>910</v>
      </c>
      <c r="V232" s="870">
        <f t="shared" si="25"/>
        <v>0</v>
      </c>
      <c r="W232" s="26"/>
      <c r="X232" s="26"/>
      <c r="Y232" s="26"/>
      <c r="Z232" s="27"/>
      <c r="AA232" s="41"/>
      <c r="AB232" s="42"/>
    </row>
    <row r="233" spans="1:36" s="9" customFormat="1" ht="15" hidden="1">
      <c r="A233" s="944"/>
      <c r="B233" s="922"/>
      <c r="C233" s="844"/>
      <c r="D233" s="31"/>
      <c r="E233" s="32"/>
      <c r="F233" s="33"/>
      <c r="G233" s="894"/>
      <c r="H233" s="32"/>
      <c r="I233" s="895"/>
      <c r="J233" s="848"/>
      <c r="K233" s="1476"/>
      <c r="L233" s="850"/>
      <c r="M233" s="851"/>
      <c r="N233" s="1034"/>
      <c r="O233" s="1034"/>
      <c r="P233" s="35"/>
      <c r="Q233" s="882"/>
      <c r="R233" s="1442">
        <v>-267.084</v>
      </c>
      <c r="S233" s="884" t="s">
        <v>6</v>
      </c>
      <c r="T233" s="857" t="s">
        <v>86</v>
      </c>
      <c r="U233" s="78" t="s">
        <v>910</v>
      </c>
      <c r="V233" s="870">
        <f t="shared" si="25"/>
        <v>0</v>
      </c>
      <c r="W233" s="26"/>
      <c r="X233" s="26"/>
      <c r="Y233" s="26"/>
      <c r="Z233" s="27"/>
      <c r="AA233" s="41"/>
      <c r="AB233" s="42"/>
    </row>
    <row r="234" spans="1:36" s="8" customFormat="1" ht="15" hidden="1">
      <c r="A234" s="516"/>
      <c r="B234" s="922"/>
      <c r="C234" s="58"/>
      <c r="D234" s="82"/>
      <c r="E234" s="44"/>
      <c r="F234" s="83"/>
      <c r="G234" s="43"/>
      <c r="H234" s="44"/>
      <c r="I234" s="45"/>
      <c r="J234" s="46"/>
      <c r="K234" s="47"/>
      <c r="L234" s="48"/>
      <c r="M234" s="49"/>
      <c r="N234" s="50"/>
      <c r="O234" s="50"/>
      <c r="P234" s="48"/>
      <c r="Q234" s="53"/>
      <c r="R234" s="887"/>
      <c r="S234" s="180"/>
      <c r="T234" s="90"/>
      <c r="U234" s="39"/>
      <c r="V234" s="870">
        <f t="shared" si="25"/>
        <v>0</v>
      </c>
      <c r="W234" s="938"/>
      <c r="X234" s="938"/>
      <c r="Y234" s="938"/>
      <c r="Z234" s="939"/>
    </row>
    <row r="235" spans="1:36" s="8" customFormat="1" ht="15" hidden="1">
      <c r="A235" s="516"/>
      <c r="B235" s="59"/>
      <c r="C235" s="60"/>
      <c r="D235" s="82"/>
      <c r="E235" s="44"/>
      <c r="F235" s="83"/>
      <c r="G235" s="43"/>
      <c r="H235" s="44"/>
      <c r="I235" s="45"/>
      <c r="J235" s="46"/>
      <c r="K235" s="47"/>
      <c r="L235" s="48"/>
      <c r="M235" s="49"/>
      <c r="N235" s="50"/>
      <c r="O235" s="50"/>
      <c r="P235" s="48"/>
      <c r="Q235" s="53"/>
      <c r="R235" s="517"/>
      <c r="S235" s="54"/>
      <c r="T235" s="518"/>
      <c r="U235" s="71"/>
      <c r="V235" s="870">
        <f t="shared" si="25"/>
        <v>0</v>
      </c>
      <c r="AB235" s="15"/>
    </row>
    <row r="236" spans="1:36" s="8" customFormat="1" ht="15.75" hidden="1">
      <c r="A236" s="516"/>
      <c r="B236" s="877"/>
      <c r="C236" s="113"/>
      <c r="D236" s="2436" t="s">
        <v>18</v>
      </c>
      <c r="E236" s="2437"/>
      <c r="F236" s="2437"/>
      <c r="G236" s="2437"/>
      <c r="H236" s="2437"/>
      <c r="I236" s="2438"/>
      <c r="J236" s="2439">
        <f>VLOOKUP(A238,'12 - FINANCEIRA'!_xlnm.Print_Area,6,FALSE)</f>
        <v>1689.16</v>
      </c>
      <c r="K236" s="2440"/>
      <c r="L236" s="519" t="str">
        <f>VLOOKUP(A238,'12 - FINANCEIRA'!_xlnm.Print_Area,4,FALSE)</f>
        <v>t</v>
      </c>
      <c r="M236" s="2441" t="s">
        <v>19</v>
      </c>
      <c r="N236" s="2442"/>
      <c r="O236" s="2442"/>
      <c r="P236" s="2442"/>
      <c r="Q236" s="2443"/>
      <c r="R236" s="878">
        <f>SUM(R232:R235)</f>
        <v>0</v>
      </c>
      <c r="S236" s="520" t="str">
        <f>L236</f>
        <v>t</v>
      </c>
      <c r="T236" s="680"/>
      <c r="U236" s="663"/>
      <c r="V236" s="870">
        <f t="shared" si="25"/>
        <v>0</v>
      </c>
      <c r="AB236" s="15"/>
    </row>
    <row r="237" spans="1:36" s="8" customFormat="1" ht="15.75" hidden="1">
      <c r="A237" s="516"/>
      <c r="B237" s="877"/>
      <c r="C237" s="681"/>
      <c r="D237" s="2444" t="s">
        <v>20</v>
      </c>
      <c r="E237" s="2445"/>
      <c r="F237" s="2445"/>
      <c r="G237" s="2445"/>
      <c r="H237" s="2445"/>
      <c r="I237" s="2446"/>
      <c r="J237" s="2450">
        <f>R236/J236</f>
        <v>0</v>
      </c>
      <c r="K237" s="2451"/>
      <c r="L237" s="2454"/>
      <c r="M237" s="2441" t="s">
        <v>21</v>
      </c>
      <c r="N237" s="2442"/>
      <c r="O237" s="2442"/>
      <c r="P237" s="2442"/>
      <c r="Q237" s="2443"/>
      <c r="R237" s="878">
        <f>VLOOKUP(A238,'12 - FINANCEIRA'!_xlnm.Print_Area,8,FALSE)</f>
        <v>0</v>
      </c>
      <c r="S237" s="879" t="str">
        <f>L236</f>
        <v>t</v>
      </c>
      <c r="T237" s="680"/>
      <c r="U237" s="663"/>
      <c r="V237" s="870">
        <f t="shared" si="25"/>
        <v>0</v>
      </c>
      <c r="AB237" s="15"/>
    </row>
    <row r="238" spans="1:36" s="8" customFormat="1" ht="15.75" hidden="1">
      <c r="A238" s="516" t="s">
        <v>460</v>
      </c>
      <c r="B238" s="877"/>
      <c r="C238" s="113"/>
      <c r="D238" s="2447"/>
      <c r="E238" s="2448"/>
      <c r="F238" s="2448"/>
      <c r="G238" s="2448"/>
      <c r="H238" s="2448"/>
      <c r="I238" s="2449"/>
      <c r="J238" s="2452"/>
      <c r="K238" s="2453"/>
      <c r="L238" s="2455"/>
      <c r="M238" s="2456" t="s">
        <v>22</v>
      </c>
      <c r="N238" s="2457"/>
      <c r="O238" s="2457"/>
      <c r="P238" s="2457"/>
      <c r="Q238" s="2458"/>
      <c r="R238" s="521">
        <f>R236-R237</f>
        <v>0</v>
      </c>
      <c r="S238" s="522" t="str">
        <f>L236</f>
        <v>t</v>
      </c>
      <c r="T238" s="680"/>
      <c r="U238" s="663"/>
      <c r="V238" s="870">
        <f>R238</f>
        <v>0</v>
      </c>
      <c r="AB238" s="15"/>
    </row>
    <row r="239" spans="1:36" s="8" customFormat="1" ht="15.75" hidden="1">
      <c r="A239" s="516"/>
      <c r="B239" s="523"/>
      <c r="C239" s="524"/>
      <c r="D239" s="526"/>
      <c r="E239" s="526"/>
      <c r="F239" s="526"/>
      <c r="G239" s="525"/>
      <c r="H239" s="525"/>
      <c r="I239" s="525"/>
      <c r="J239" s="527"/>
      <c r="K239" s="528"/>
      <c r="L239" s="529"/>
      <c r="M239" s="530"/>
      <c r="N239" s="530"/>
      <c r="O239" s="530"/>
      <c r="P239" s="530"/>
      <c r="Q239" s="530"/>
      <c r="R239" s="531"/>
      <c r="S239" s="532"/>
      <c r="T239" s="533"/>
      <c r="U239" s="534"/>
      <c r="V239" s="871">
        <f>SUM(V230:V238)</f>
        <v>0</v>
      </c>
      <c r="AB239" s="15"/>
    </row>
    <row r="240" spans="1:36" s="497" customFormat="1" ht="15.75" hidden="1">
      <c r="A240" s="495"/>
      <c r="B240" s="2423" t="str">
        <f>VLOOKUP(A248,'12 - FINANCEIRA'!_xlnm.Print_Area,1,FALSE)</f>
        <v>2.1.10</v>
      </c>
      <c r="C240" s="2421" t="str">
        <f>VLOOKUP(A248,'12 - FINANCEIRA'!_xlnm.Print_Area,3,FALSE)</f>
        <v>Emulsão Asfáltica para Imprimação (EAI), fornecimento - BDI = 14,01</v>
      </c>
      <c r="D240" s="2479" t="s">
        <v>97</v>
      </c>
      <c r="E240" s="2480"/>
      <c r="F240" s="2480"/>
      <c r="G240" s="2480"/>
      <c r="H240" s="2480"/>
      <c r="I240" s="2481"/>
      <c r="J240" s="2416" t="s">
        <v>98</v>
      </c>
      <c r="K240" s="2416" t="s">
        <v>561</v>
      </c>
      <c r="L240" s="2416" t="s">
        <v>526</v>
      </c>
      <c r="M240" s="2416" t="s">
        <v>562</v>
      </c>
      <c r="N240" s="2416" t="s">
        <v>563</v>
      </c>
      <c r="O240" s="496" t="s">
        <v>564</v>
      </c>
      <c r="P240" s="2416" t="s">
        <v>565</v>
      </c>
      <c r="Q240" s="2425" t="s">
        <v>566</v>
      </c>
      <c r="R240" s="2416" t="s">
        <v>2</v>
      </c>
      <c r="S240" s="2416" t="s">
        <v>99</v>
      </c>
      <c r="T240" s="2416" t="s">
        <v>17</v>
      </c>
      <c r="U240" s="2428" t="s">
        <v>362</v>
      </c>
      <c r="V240" s="870">
        <f t="shared" ref="V240:V247" si="26">V241</f>
        <v>0</v>
      </c>
      <c r="W240" s="26"/>
      <c r="X240" s="26"/>
      <c r="Y240" s="26"/>
      <c r="Z240" s="27"/>
      <c r="AA240" s="9"/>
      <c r="AB240" s="9"/>
      <c r="AC240" s="9"/>
      <c r="AD240" s="9"/>
      <c r="AE240" s="9"/>
      <c r="AF240" s="9"/>
      <c r="AG240" s="9"/>
      <c r="AH240" s="9"/>
      <c r="AI240" s="9"/>
      <c r="AJ240" s="9"/>
    </row>
    <row r="241" spans="1:36" s="497" customFormat="1" ht="15.75" hidden="1">
      <c r="A241" s="495"/>
      <c r="B241" s="2471" t="e">
        <f>LEFT(#REF!,5)</f>
        <v>#REF!</v>
      </c>
      <c r="C241" s="2472" t="e">
        <f>VLOOKUP(LEFT(#REF!,5),'12 - FINANCEIRA'!_xlnm.Print_Area,2,FALSE)</f>
        <v>#REF!</v>
      </c>
      <c r="D241" s="2430" t="s">
        <v>14</v>
      </c>
      <c r="E241" s="2431"/>
      <c r="F241" s="2432"/>
      <c r="G241" s="2433" t="s">
        <v>15</v>
      </c>
      <c r="H241" s="2434"/>
      <c r="I241" s="2435"/>
      <c r="J241" s="2427"/>
      <c r="K241" s="2427" t="s">
        <v>567</v>
      </c>
      <c r="L241" s="2427" t="s">
        <v>568</v>
      </c>
      <c r="M241" s="2427" t="s">
        <v>569</v>
      </c>
      <c r="N241" s="2427" t="s">
        <v>570</v>
      </c>
      <c r="O241" s="498" t="s">
        <v>571</v>
      </c>
      <c r="P241" s="2427" t="s">
        <v>569</v>
      </c>
      <c r="Q241" s="2426" t="s">
        <v>572</v>
      </c>
      <c r="R241" s="2427"/>
      <c r="S241" s="2427"/>
      <c r="T241" s="2427"/>
      <c r="U241" s="2429"/>
      <c r="V241" s="870">
        <f t="shared" si="26"/>
        <v>0</v>
      </c>
      <c r="W241" s="26"/>
      <c r="X241" s="26"/>
      <c r="Y241" s="26"/>
      <c r="Z241" s="27"/>
      <c r="AA241" s="9"/>
      <c r="AB241" s="9"/>
      <c r="AC241" s="9"/>
      <c r="AD241" s="9"/>
      <c r="AE241" s="9"/>
      <c r="AF241" s="9"/>
      <c r="AG241" s="9"/>
      <c r="AH241" s="9"/>
      <c r="AI241" s="9"/>
      <c r="AJ241" s="9"/>
    </row>
    <row r="242" spans="1:36" s="9" customFormat="1" ht="15" hidden="1">
      <c r="A242" s="944"/>
      <c r="B242" s="922"/>
      <c r="C242" s="844"/>
      <c r="D242" s="845"/>
      <c r="E242" s="846"/>
      <c r="F242" s="847"/>
      <c r="G242" s="845"/>
      <c r="H242" s="846"/>
      <c r="I242" s="847"/>
      <c r="J242" s="848"/>
      <c r="K242" s="849"/>
      <c r="L242" s="850"/>
      <c r="M242" s="851"/>
      <c r="N242" s="852"/>
      <c r="O242" s="849"/>
      <c r="P242" s="853"/>
      <c r="Q242" s="854"/>
      <c r="R242" s="842"/>
      <c r="S242" s="855"/>
      <c r="T242" s="843"/>
      <c r="U242" s="181"/>
      <c r="V242" s="870">
        <f t="shared" si="26"/>
        <v>0</v>
      </c>
      <c r="W242" s="26"/>
      <c r="X242" s="26"/>
      <c r="Y242" s="26"/>
      <c r="Z242" s="27"/>
      <c r="AA242" s="41"/>
      <c r="AB242" s="42"/>
    </row>
    <row r="243" spans="1:36" s="9" customFormat="1" ht="15" hidden="1">
      <c r="A243" s="944"/>
      <c r="B243" s="922"/>
      <c r="C243" s="30"/>
      <c r="D243" s="31"/>
      <c r="E243" s="32"/>
      <c r="F243" s="33"/>
      <c r="G243" s="31"/>
      <c r="H243" s="32"/>
      <c r="I243" s="33"/>
      <c r="J243" s="34"/>
      <c r="K243" s="883"/>
      <c r="L243" s="35"/>
      <c r="M243" s="36"/>
      <c r="N243" s="889"/>
      <c r="O243" s="883"/>
      <c r="P243" s="890"/>
      <c r="Q243" s="882"/>
      <c r="R243" s="883"/>
      <c r="S243" s="884"/>
      <c r="T243" s="857"/>
      <c r="U243" s="78"/>
      <c r="V243" s="870">
        <f>V245</f>
        <v>0</v>
      </c>
      <c r="W243" s="26"/>
      <c r="X243" s="26"/>
      <c r="Y243" s="26"/>
      <c r="Z243" s="27"/>
      <c r="AA243" s="41"/>
      <c r="AB243" s="42"/>
    </row>
    <row r="244" spans="1:36" s="515" customFormat="1" ht="15" hidden="1">
      <c r="A244" s="510"/>
      <c r="B244" s="1094"/>
      <c r="C244" s="844"/>
      <c r="D244" s="845"/>
      <c r="E244" s="846"/>
      <c r="F244" s="847"/>
      <c r="G244" s="951"/>
      <c r="H244" s="846"/>
      <c r="I244" s="952"/>
      <c r="J244" s="848"/>
      <c r="K244" s="1033"/>
      <c r="L244" s="850"/>
      <c r="M244" s="851"/>
      <c r="N244" s="852"/>
      <c r="O244" s="849"/>
      <c r="P244" s="853"/>
      <c r="Q244" s="854"/>
      <c r="R244" s="849"/>
      <c r="S244" s="1035"/>
      <c r="T244" s="843"/>
      <c r="U244" s="1095"/>
      <c r="V244" s="870">
        <f>V246</f>
        <v>0</v>
      </c>
      <c r="W244" s="8"/>
      <c r="X244" s="8"/>
      <c r="AB244" s="961"/>
    </row>
    <row r="245" spans="1:36" s="515" customFormat="1" ht="15" hidden="1">
      <c r="A245" s="510"/>
      <c r="B245" s="128"/>
      <c r="C245" s="967"/>
      <c r="D245" s="1096"/>
      <c r="E245" s="1097"/>
      <c r="F245" s="1098"/>
      <c r="G245" s="1099"/>
      <c r="H245" s="1097"/>
      <c r="I245" s="1100"/>
      <c r="J245" s="1101"/>
      <c r="K245" s="1111"/>
      <c r="L245" s="978"/>
      <c r="M245" s="1103"/>
      <c r="N245" s="1104"/>
      <c r="O245" s="980"/>
      <c r="P245" s="1105"/>
      <c r="Q245" s="987"/>
      <c r="R245" s="980"/>
      <c r="S245" s="1106"/>
      <c r="T245" s="1027"/>
      <c r="U245" s="1107"/>
      <c r="V245" s="870">
        <f>V247</f>
        <v>0</v>
      </c>
      <c r="W245" s="8"/>
      <c r="X245" s="8"/>
      <c r="AB245" s="961"/>
    </row>
    <row r="246" spans="1:36" s="8" customFormat="1" ht="15.75" hidden="1">
      <c r="A246" s="516"/>
      <c r="B246" s="877"/>
      <c r="C246" s="113"/>
      <c r="D246" s="2475" t="s">
        <v>18</v>
      </c>
      <c r="E246" s="2460"/>
      <c r="F246" s="2460"/>
      <c r="G246" s="2460"/>
      <c r="H246" s="2460"/>
      <c r="I246" s="2476"/>
      <c r="J246" s="2484">
        <f>VLOOKUP(A248,'12 - FINANCEIRA'!_xlnm.Print_Area,6,FALSE)</f>
        <v>0.17</v>
      </c>
      <c r="K246" s="2485"/>
      <c r="L246" s="910" t="str">
        <f>VLOOKUP(A248,'12 - FINANCEIRA'!_xlnm.Print_Area,4,FALSE)</f>
        <v>t</v>
      </c>
      <c r="M246" s="2486" t="s">
        <v>19</v>
      </c>
      <c r="N246" s="2465"/>
      <c r="O246" s="2465"/>
      <c r="P246" s="2465"/>
      <c r="Q246" s="2487"/>
      <c r="R246" s="904">
        <f>SUM(R242:R245)</f>
        <v>0</v>
      </c>
      <c r="S246" s="905" t="str">
        <f>L246</f>
        <v>t</v>
      </c>
      <c r="T246" s="680"/>
      <c r="U246" s="663"/>
      <c r="V246" s="870">
        <f t="shared" si="26"/>
        <v>0</v>
      </c>
      <c r="AB246" s="15"/>
    </row>
    <row r="247" spans="1:36" s="8" customFormat="1" ht="15.75" hidden="1">
      <c r="A247" s="516"/>
      <c r="B247" s="877"/>
      <c r="C247" s="681"/>
      <c r="D247" s="2444" t="s">
        <v>20</v>
      </c>
      <c r="E247" s="2445"/>
      <c r="F247" s="2445"/>
      <c r="G247" s="2445"/>
      <c r="H247" s="2445"/>
      <c r="I247" s="2446"/>
      <c r="J247" s="2450">
        <f>R246/J246</f>
        <v>0</v>
      </c>
      <c r="K247" s="2451"/>
      <c r="L247" s="2454"/>
      <c r="M247" s="2441" t="s">
        <v>21</v>
      </c>
      <c r="N247" s="2442"/>
      <c r="O247" s="2442"/>
      <c r="P247" s="2442"/>
      <c r="Q247" s="2443"/>
      <c r="R247" s="878">
        <f>VLOOKUP(A248,'12 - FINANCEIRA'!_xlnm.Print_Area,8,FALSE)</f>
        <v>0</v>
      </c>
      <c r="S247" s="879" t="str">
        <f>L246</f>
        <v>t</v>
      </c>
      <c r="T247" s="680"/>
      <c r="U247" s="663"/>
      <c r="V247" s="870">
        <f t="shared" si="26"/>
        <v>0</v>
      </c>
      <c r="AB247" s="15"/>
    </row>
    <row r="248" spans="1:36" s="8" customFormat="1" ht="15.75" hidden="1">
      <c r="A248" s="516" t="s">
        <v>461</v>
      </c>
      <c r="B248" s="877"/>
      <c r="C248" s="113"/>
      <c r="D248" s="2447"/>
      <c r="E248" s="2448"/>
      <c r="F248" s="2448"/>
      <c r="G248" s="2448"/>
      <c r="H248" s="2448"/>
      <c r="I248" s="2449"/>
      <c r="J248" s="2452"/>
      <c r="K248" s="2453"/>
      <c r="L248" s="2455"/>
      <c r="M248" s="2456" t="s">
        <v>22</v>
      </c>
      <c r="N248" s="2457"/>
      <c r="O248" s="2457"/>
      <c r="P248" s="2457"/>
      <c r="Q248" s="2458"/>
      <c r="R248" s="521">
        <f>R246-R247</f>
        <v>0</v>
      </c>
      <c r="S248" s="522" t="str">
        <f>L246</f>
        <v>t</v>
      </c>
      <c r="T248" s="680"/>
      <c r="U248" s="663"/>
      <c r="V248" s="870">
        <f>R248</f>
        <v>0</v>
      </c>
      <c r="AB248" s="15"/>
    </row>
    <row r="249" spans="1:36" s="8" customFormat="1" ht="15.75" hidden="1">
      <c r="A249" s="516"/>
      <c r="B249" s="523"/>
      <c r="C249" s="524"/>
      <c r="D249" s="526"/>
      <c r="E249" s="526"/>
      <c r="F249" s="526"/>
      <c r="G249" s="525"/>
      <c r="H249" s="525"/>
      <c r="I249" s="525"/>
      <c r="J249" s="527"/>
      <c r="K249" s="528"/>
      <c r="L249" s="529"/>
      <c r="M249" s="530"/>
      <c r="N249" s="530"/>
      <c r="O249" s="530"/>
      <c r="P249" s="530"/>
      <c r="Q249" s="530"/>
      <c r="R249" s="531"/>
      <c r="S249" s="532"/>
      <c r="T249" s="533"/>
      <c r="U249" s="534"/>
      <c r="V249" s="871">
        <f>SUM(V240:V248)</f>
        <v>0</v>
      </c>
      <c r="AB249" s="15"/>
    </row>
    <row r="250" spans="1:36" s="497" customFormat="1" ht="24" customHeight="1">
      <c r="A250" s="495"/>
      <c r="B250" s="2423" t="str">
        <f>VLOOKUP(A258,'12 - FINANCEIRA'!_xlnm.Print_Area,1,FALSE)</f>
        <v>2.1.11</v>
      </c>
      <c r="C250" s="2421" t="str">
        <f>VLOOKUP(A258,'12 - FINANCEIRA'!_xlnm.Print_Area,3,FALSE)</f>
        <v>Transporte com caminhão basculante de 12m³ - rodovia pavimentada - material de 1º categoria</v>
      </c>
      <c r="D250" s="2479" t="s">
        <v>97</v>
      </c>
      <c r="E250" s="2480"/>
      <c r="F250" s="2480"/>
      <c r="G250" s="2480"/>
      <c r="H250" s="2480"/>
      <c r="I250" s="2481"/>
      <c r="J250" s="2416" t="s">
        <v>98</v>
      </c>
      <c r="K250" s="2416" t="s">
        <v>102</v>
      </c>
      <c r="L250" s="2416" t="s">
        <v>103</v>
      </c>
      <c r="M250" s="2416" t="s">
        <v>228</v>
      </c>
      <c r="N250" s="2416" t="s">
        <v>229</v>
      </c>
      <c r="O250" s="2416" t="s">
        <v>107</v>
      </c>
      <c r="P250" s="2489" t="s">
        <v>153</v>
      </c>
      <c r="Q250" s="2425" t="s">
        <v>743</v>
      </c>
      <c r="R250" s="2416" t="s">
        <v>2</v>
      </c>
      <c r="S250" s="2416" t="s">
        <v>99</v>
      </c>
      <c r="T250" s="2416" t="s">
        <v>17</v>
      </c>
      <c r="U250" s="2428" t="s">
        <v>362</v>
      </c>
      <c r="V250" s="1314">
        <f t="shared" ref="V250:V257" si="27">V251</f>
        <v>16833.688999999998</v>
      </c>
      <c r="W250" s="26"/>
      <c r="X250" s="26"/>
      <c r="Y250" s="26"/>
      <c r="Z250" s="27"/>
      <c r="AA250" s="9"/>
      <c r="AB250" s="9"/>
      <c r="AC250" s="9"/>
      <c r="AD250" s="9"/>
      <c r="AE250" s="9"/>
      <c r="AF250" s="9"/>
      <c r="AG250" s="9"/>
      <c r="AH250" s="9"/>
      <c r="AI250" s="9"/>
      <c r="AJ250" s="9"/>
    </row>
    <row r="251" spans="1:36" s="497" customFormat="1" ht="15.75">
      <c r="A251" s="495"/>
      <c r="B251" s="2471" t="e">
        <f>LEFT(#REF!,5)</f>
        <v>#REF!</v>
      </c>
      <c r="C251" s="2472" t="e">
        <f>VLOOKUP(LEFT(#REF!,5),'12 - FINANCEIRA'!_xlnm.Print_Area,2,FALSE)</f>
        <v>#REF!</v>
      </c>
      <c r="D251" s="2430" t="s">
        <v>14</v>
      </c>
      <c r="E251" s="2431"/>
      <c r="F251" s="2432"/>
      <c r="G251" s="2433" t="s">
        <v>15</v>
      </c>
      <c r="H251" s="2434"/>
      <c r="I251" s="2435"/>
      <c r="J251" s="2427"/>
      <c r="K251" s="2427"/>
      <c r="L251" s="2427"/>
      <c r="M251" s="2427"/>
      <c r="N251" s="2427"/>
      <c r="O251" s="2417"/>
      <c r="P251" s="2577" t="s">
        <v>104</v>
      </c>
      <c r="Q251" s="2426"/>
      <c r="R251" s="2427"/>
      <c r="S251" s="2427"/>
      <c r="T251" s="2427"/>
      <c r="U251" s="2429"/>
      <c r="V251" s="1314">
        <f t="shared" si="27"/>
        <v>16833.688999999998</v>
      </c>
      <c r="W251" s="26"/>
      <c r="X251" s="26"/>
      <c r="Y251" s="26"/>
      <c r="Z251" s="27"/>
      <c r="AA251" s="9"/>
      <c r="AB251" s="9"/>
      <c r="AC251" s="9"/>
      <c r="AD251" s="9"/>
      <c r="AE251" s="9"/>
      <c r="AF251" s="9"/>
      <c r="AG251" s="9"/>
      <c r="AH251" s="9"/>
      <c r="AI251" s="9"/>
      <c r="AJ251" s="9"/>
    </row>
    <row r="252" spans="1:36" s="9" customFormat="1" ht="30">
      <c r="A252" s="944"/>
      <c r="B252" s="922"/>
      <c r="C252" s="79" t="s">
        <v>1060</v>
      </c>
      <c r="D252" s="156">
        <v>100</v>
      </c>
      <c r="E252" s="86" t="s">
        <v>68</v>
      </c>
      <c r="F252" s="155">
        <v>0</v>
      </c>
      <c r="G252" s="85">
        <v>113</v>
      </c>
      <c r="H252" s="86" t="s">
        <v>68</v>
      </c>
      <c r="I252" s="87">
        <v>14.75</v>
      </c>
      <c r="J252" s="1528"/>
      <c r="K252" s="1529">
        <f>(G252-D252)*20+I252-F252</f>
        <v>274.75</v>
      </c>
      <c r="L252" s="134"/>
      <c r="M252" s="136"/>
      <c r="N252" s="501"/>
      <c r="O252" s="135">
        <f>R262</f>
        <v>2837.8209999999999</v>
      </c>
      <c r="P252" s="1483">
        <v>1.6180000000000001</v>
      </c>
      <c r="Q252" s="225">
        <v>3.9</v>
      </c>
      <c r="R252" s="502">
        <f>TRUNC(O252*P252*Q252,3)</f>
        <v>17907.218000000001</v>
      </c>
      <c r="S252" s="841" t="s">
        <v>663</v>
      </c>
      <c r="T252" s="262" t="s">
        <v>90</v>
      </c>
      <c r="U252" s="1782" t="s">
        <v>936</v>
      </c>
      <c r="V252" s="1314">
        <f t="shared" si="27"/>
        <v>16833.688999999998</v>
      </c>
      <c r="W252" s="26"/>
      <c r="X252" s="26"/>
      <c r="Y252" s="26"/>
      <c r="Z252" s="27"/>
      <c r="AA252" s="41"/>
      <c r="AB252" s="42"/>
    </row>
    <row r="253" spans="1:36" s="9" customFormat="1" ht="30">
      <c r="A253" s="944"/>
      <c r="B253" s="922"/>
      <c r="C253" s="79" t="s">
        <v>1061</v>
      </c>
      <c r="D253" s="156">
        <v>0</v>
      </c>
      <c r="E253" s="86" t="s">
        <v>68</v>
      </c>
      <c r="F253" s="155">
        <v>0</v>
      </c>
      <c r="G253" s="85">
        <v>17</v>
      </c>
      <c r="H253" s="86" t="s">
        <v>68</v>
      </c>
      <c r="I253" s="87">
        <v>0</v>
      </c>
      <c r="J253" s="1480"/>
      <c r="K253" s="1481">
        <f>(G253-D253)*20+I253-F253</f>
        <v>340</v>
      </c>
      <c r="L253" s="134"/>
      <c r="M253" s="136"/>
      <c r="N253" s="501"/>
      <c r="O253" s="135">
        <v>4566.4939999999997</v>
      </c>
      <c r="P253" s="1483">
        <v>1.6180000000000001</v>
      </c>
      <c r="Q253" s="225">
        <v>3.9</v>
      </c>
      <c r="R253" s="508">
        <f>TRUNC(O253*P253*Q253,3)</f>
        <v>28815.49</v>
      </c>
      <c r="S253" s="509" t="s">
        <v>663</v>
      </c>
      <c r="T253" s="262" t="s">
        <v>90</v>
      </c>
      <c r="U253" s="1782" t="s">
        <v>936</v>
      </c>
      <c r="V253" s="1314">
        <f t="shared" si="27"/>
        <v>16833.688999999998</v>
      </c>
      <c r="W253" s="26"/>
      <c r="X253" s="26"/>
      <c r="Y253" s="26"/>
      <c r="Z253" s="27"/>
      <c r="AA253" s="41"/>
      <c r="AB253" s="42"/>
    </row>
    <row r="254" spans="1:36" s="8" customFormat="1" ht="15">
      <c r="A254" s="516"/>
      <c r="B254" s="922"/>
      <c r="C254" s="76"/>
      <c r="D254" s="962"/>
      <c r="E254" s="963"/>
      <c r="F254" s="964"/>
      <c r="G254" s="965"/>
      <c r="H254" s="963"/>
      <c r="I254" s="966"/>
      <c r="J254" s="1403"/>
      <c r="K254" s="1404"/>
      <c r="L254" s="1415"/>
      <c r="M254" s="1416"/>
      <c r="N254" s="1417"/>
      <c r="O254" s="224"/>
      <c r="P254" s="193"/>
      <c r="Q254" s="971"/>
      <c r="R254" s="1418"/>
      <c r="S254" s="1419"/>
      <c r="T254" s="972"/>
      <c r="U254" s="956"/>
      <c r="V254" s="1314">
        <f t="shared" si="27"/>
        <v>16833.688999999998</v>
      </c>
      <c r="W254" s="938"/>
      <c r="X254" s="938"/>
      <c r="Y254" s="938"/>
      <c r="Z254" s="939"/>
    </row>
    <row r="255" spans="1:36" s="8" customFormat="1" ht="15">
      <c r="A255" s="516"/>
      <c r="B255" s="59"/>
      <c r="C255" s="60"/>
      <c r="D255" s="82"/>
      <c r="E255" s="44"/>
      <c r="F255" s="83"/>
      <c r="G255" s="43"/>
      <c r="H255" s="44"/>
      <c r="I255" s="45"/>
      <c r="J255" s="46"/>
      <c r="K255" s="47"/>
      <c r="L255" s="48"/>
      <c r="M255" s="49"/>
      <c r="N255" s="50"/>
      <c r="O255" s="50"/>
      <c r="P255" s="48"/>
      <c r="Q255" s="53"/>
      <c r="R255" s="517"/>
      <c r="S255" s="54"/>
      <c r="T255" s="518"/>
      <c r="U255" s="71"/>
      <c r="V255" s="1314">
        <f t="shared" si="27"/>
        <v>16833.688999999998</v>
      </c>
      <c r="AB255" s="15"/>
    </row>
    <row r="256" spans="1:36" s="8" customFormat="1" ht="15.75">
      <c r="A256" s="516"/>
      <c r="B256" s="877"/>
      <c r="C256" s="113"/>
      <c r="D256" s="2436" t="s">
        <v>18</v>
      </c>
      <c r="E256" s="2437"/>
      <c r="F256" s="2437"/>
      <c r="G256" s="2437"/>
      <c r="H256" s="2437"/>
      <c r="I256" s="2438"/>
      <c r="J256" s="2439">
        <f>VLOOKUP(A258,'12 - FINANCEIRA'!_xlnm.Print_Area,6,FALSE)</f>
        <v>126687.21</v>
      </c>
      <c r="K256" s="2440"/>
      <c r="L256" s="519" t="str">
        <f>VLOOKUP(A258,'12 - FINANCEIRA'!_xlnm.Print_Area,4,FALSE)</f>
        <v>t/km</v>
      </c>
      <c r="M256" s="2441" t="s">
        <v>19</v>
      </c>
      <c r="N256" s="2442"/>
      <c r="O256" s="2442"/>
      <c r="P256" s="2442"/>
      <c r="Q256" s="2443"/>
      <c r="R256" s="878">
        <f>SUM(R252:R255)</f>
        <v>46722.707999999999</v>
      </c>
      <c r="S256" s="520" t="str">
        <f>L256</f>
        <v>t/km</v>
      </c>
      <c r="T256" s="680"/>
      <c r="U256" s="663"/>
      <c r="V256" s="1314">
        <f t="shared" si="27"/>
        <v>16833.688999999998</v>
      </c>
      <c r="AB256" s="15"/>
    </row>
    <row r="257" spans="1:36" s="8" customFormat="1" ht="15.75">
      <c r="A257" s="516"/>
      <c r="B257" s="877"/>
      <c r="C257" s="681"/>
      <c r="D257" s="2444" t="s">
        <v>20</v>
      </c>
      <c r="E257" s="2445"/>
      <c r="F257" s="2445"/>
      <c r="G257" s="2445"/>
      <c r="H257" s="2445"/>
      <c r="I257" s="2446"/>
      <c r="J257" s="2450">
        <f>R256/J256</f>
        <v>0.36880367007845538</v>
      </c>
      <c r="K257" s="2451"/>
      <c r="L257" s="2454"/>
      <c r="M257" s="2441" t="s">
        <v>21</v>
      </c>
      <c r="N257" s="2442"/>
      <c r="O257" s="2442"/>
      <c r="P257" s="2442"/>
      <c r="Q257" s="2443"/>
      <c r="R257" s="878">
        <f>VLOOKUP(A258,'12 - FINANCEIRA'!_xlnm.Print_Area,8,FALSE)</f>
        <v>29889.019</v>
      </c>
      <c r="S257" s="879" t="str">
        <f>L256</f>
        <v>t/km</v>
      </c>
      <c r="T257" s="680"/>
      <c r="U257" s="663"/>
      <c r="V257" s="1314">
        <f t="shared" si="27"/>
        <v>16833.688999999998</v>
      </c>
      <c r="AB257" s="15"/>
    </row>
    <row r="258" spans="1:36" s="8" customFormat="1" ht="15.75">
      <c r="A258" s="516" t="s">
        <v>462</v>
      </c>
      <c r="B258" s="877"/>
      <c r="C258" s="113"/>
      <c r="D258" s="2447"/>
      <c r="E258" s="2448"/>
      <c r="F258" s="2448"/>
      <c r="G258" s="2448"/>
      <c r="H258" s="2448"/>
      <c r="I258" s="2449"/>
      <c r="J258" s="2452"/>
      <c r="K258" s="2453"/>
      <c r="L258" s="2455"/>
      <c r="M258" s="2456" t="s">
        <v>22</v>
      </c>
      <c r="N258" s="2457"/>
      <c r="O258" s="2457"/>
      <c r="P258" s="2457"/>
      <c r="Q258" s="2458"/>
      <c r="R258" s="521">
        <f>R256-R257</f>
        <v>16833.688999999998</v>
      </c>
      <c r="S258" s="522" t="str">
        <f>L256</f>
        <v>t/km</v>
      </c>
      <c r="T258" s="680"/>
      <c r="U258" s="663"/>
      <c r="V258" s="1314">
        <f>R258</f>
        <v>16833.688999999998</v>
      </c>
      <c r="AB258" s="15"/>
    </row>
    <row r="259" spans="1:36" s="8" customFormat="1" ht="15.75">
      <c r="A259" s="516"/>
      <c r="B259" s="523"/>
      <c r="C259" s="524"/>
      <c r="D259" s="526"/>
      <c r="E259" s="526"/>
      <c r="F259" s="526"/>
      <c r="G259" s="525"/>
      <c r="H259" s="525"/>
      <c r="I259" s="525"/>
      <c r="J259" s="527"/>
      <c r="K259" s="528"/>
      <c r="L259" s="529"/>
      <c r="M259" s="530"/>
      <c r="N259" s="530"/>
      <c r="O259" s="530"/>
      <c r="P259" s="530"/>
      <c r="Q259" s="530"/>
      <c r="R259" s="531"/>
      <c r="S259" s="532"/>
      <c r="T259" s="533"/>
      <c r="U259" s="534"/>
      <c r="V259" s="1658">
        <f>SUM(V250:V258)</f>
        <v>151503.201</v>
      </c>
      <c r="AB259" s="15"/>
    </row>
    <row r="260" spans="1:36" s="497" customFormat="1" ht="15" customHeight="1">
      <c r="A260" s="495"/>
      <c r="B260" s="2423" t="str">
        <f>VLOOKUP(A268,'12 - FINANCEIRA'!_xlnm.Print_Area,1,FALSE)</f>
        <v>2.1.12</v>
      </c>
      <c r="C260" s="2421" t="str">
        <f>VLOOKUP(A268,'12 - FINANCEIRA'!_xlnm.Print_Area,3,FALSE)</f>
        <v>Remoção residuos Classe A Conama (caçamba) Classe II B (NBR10004) inclusive destinação final - BDI = 14,01</v>
      </c>
      <c r="D260" s="2479" t="s">
        <v>97</v>
      </c>
      <c r="E260" s="2480"/>
      <c r="F260" s="2480"/>
      <c r="G260" s="2480"/>
      <c r="H260" s="2480"/>
      <c r="I260" s="2481"/>
      <c r="J260" s="2416" t="s">
        <v>98</v>
      </c>
      <c r="K260" s="2416" t="s">
        <v>102</v>
      </c>
      <c r="L260" s="2416" t="s">
        <v>103</v>
      </c>
      <c r="M260" s="2416" t="s">
        <v>228</v>
      </c>
      <c r="N260" s="2416" t="s">
        <v>229</v>
      </c>
      <c r="O260" s="2416" t="s">
        <v>107</v>
      </c>
      <c r="P260" s="496" t="s">
        <v>153</v>
      </c>
      <c r="Q260" s="2416" t="s">
        <v>16</v>
      </c>
      <c r="R260" s="2425" t="s">
        <v>2</v>
      </c>
      <c r="S260" s="2416" t="s">
        <v>99</v>
      </c>
      <c r="T260" s="2416" t="s">
        <v>17</v>
      </c>
      <c r="U260" s="2428" t="s">
        <v>362</v>
      </c>
      <c r="V260" s="1314">
        <f t="shared" ref="V260:V267" si="28">V261</f>
        <v>1504.8169999999991</v>
      </c>
      <c r="W260" s="26"/>
      <c r="X260" s="26"/>
      <c r="Y260" s="26"/>
      <c r="Z260" s="27"/>
      <c r="AA260" s="9"/>
      <c r="AB260" s="9"/>
      <c r="AC260" s="9"/>
      <c r="AD260" s="9"/>
      <c r="AE260" s="9"/>
      <c r="AF260" s="9"/>
      <c r="AG260" s="9"/>
      <c r="AH260" s="9"/>
      <c r="AI260" s="9"/>
      <c r="AJ260" s="9"/>
    </row>
    <row r="261" spans="1:36" s="497" customFormat="1" ht="15" customHeight="1">
      <c r="A261" s="495"/>
      <c r="B261" s="2471" t="e">
        <f>LEFT(#REF!,5)</f>
        <v>#REF!</v>
      </c>
      <c r="C261" s="2472" t="e">
        <f>VLOOKUP(LEFT(#REF!,5),'12 - FINANCEIRA'!_xlnm.Print_Area,2,FALSE)</f>
        <v>#REF!</v>
      </c>
      <c r="D261" s="2430" t="s">
        <v>14</v>
      </c>
      <c r="E261" s="2431"/>
      <c r="F261" s="2432"/>
      <c r="G261" s="2433" t="s">
        <v>15</v>
      </c>
      <c r="H261" s="2434"/>
      <c r="I261" s="2435"/>
      <c r="J261" s="2427"/>
      <c r="K261" s="2427"/>
      <c r="L261" s="2427"/>
      <c r="M261" s="2427"/>
      <c r="N261" s="2427"/>
      <c r="O261" s="2427"/>
      <c r="P261" s="498" t="s">
        <v>104</v>
      </c>
      <c r="Q261" s="2427"/>
      <c r="R261" s="2426"/>
      <c r="S261" s="2427"/>
      <c r="T261" s="2427"/>
      <c r="U261" s="2429"/>
      <c r="V261" s="1314">
        <f t="shared" si="28"/>
        <v>1504.8169999999991</v>
      </c>
      <c r="W261" s="26"/>
      <c r="X261" s="26"/>
      <c r="Y261" s="26"/>
      <c r="Z261" s="27"/>
      <c r="AA261" s="9"/>
      <c r="AB261" s="9"/>
      <c r="AC261" s="9"/>
      <c r="AD261" s="9"/>
      <c r="AE261" s="9"/>
      <c r="AF261" s="9"/>
      <c r="AG261" s="9"/>
      <c r="AH261" s="9"/>
      <c r="AI261" s="9"/>
      <c r="AJ261" s="9"/>
    </row>
    <row r="262" spans="1:36" s="9" customFormat="1" ht="30">
      <c r="A262" s="944"/>
      <c r="B262" s="922"/>
      <c r="C262" s="1420" t="s">
        <v>886</v>
      </c>
      <c r="D262" s="962">
        <v>100</v>
      </c>
      <c r="E262" s="963" t="s">
        <v>68</v>
      </c>
      <c r="F262" s="964">
        <v>0</v>
      </c>
      <c r="G262" s="965">
        <v>113</v>
      </c>
      <c r="H262" s="963" t="s">
        <v>68</v>
      </c>
      <c r="I262" s="966">
        <v>14.75</v>
      </c>
      <c r="J262" s="1421" t="s">
        <v>105</v>
      </c>
      <c r="K262" s="1422"/>
      <c r="L262" s="1423"/>
      <c r="M262" s="1424"/>
      <c r="N262" s="1425"/>
      <c r="O262" s="1426">
        <f>R152</f>
        <v>2326.0830000000001</v>
      </c>
      <c r="P262" s="1423"/>
      <c r="Q262" s="1530">
        <v>0.22</v>
      </c>
      <c r="R262" s="1108">
        <f>TRUNC(O262*(1+Q262),3)</f>
        <v>2837.8209999999999</v>
      </c>
      <c r="S262" s="1531" t="s">
        <v>5</v>
      </c>
      <c r="T262" s="972" t="s">
        <v>90</v>
      </c>
      <c r="U262" s="1532" t="s">
        <v>937</v>
      </c>
      <c r="V262" s="1314">
        <f t="shared" si="28"/>
        <v>1504.8169999999991</v>
      </c>
      <c r="W262" s="26"/>
      <c r="X262" s="26"/>
      <c r="Y262" s="26"/>
      <c r="Z262" s="27"/>
      <c r="AA262" s="41"/>
      <c r="AB262" s="42"/>
    </row>
    <row r="263" spans="1:36" s="8" customFormat="1" ht="30">
      <c r="A263" s="516"/>
      <c r="B263" s="1319"/>
      <c r="C263" s="1350" t="s">
        <v>887</v>
      </c>
      <c r="D263" s="962">
        <v>0</v>
      </c>
      <c r="E263" s="963" t="s">
        <v>68</v>
      </c>
      <c r="F263" s="964">
        <v>0</v>
      </c>
      <c r="G263" s="965">
        <v>17</v>
      </c>
      <c r="H263" s="963" t="s">
        <v>68</v>
      </c>
      <c r="I263" s="966">
        <v>0</v>
      </c>
      <c r="J263" s="1356" t="s">
        <v>105</v>
      </c>
      <c r="K263" s="1357"/>
      <c r="L263" s="1358"/>
      <c r="M263" s="1359"/>
      <c r="N263" s="1360"/>
      <c r="O263" s="1360">
        <f>R153-371.22</f>
        <v>3371.808</v>
      </c>
      <c r="P263" s="1358"/>
      <c r="Q263" s="1482">
        <v>0.22</v>
      </c>
      <c r="R263" s="1418">
        <f>TRUNC(O263*(1+Q263),3)</f>
        <v>4113.6049999999996</v>
      </c>
      <c r="S263" s="1363" t="s">
        <v>5</v>
      </c>
      <c r="T263" s="1364" t="s">
        <v>90</v>
      </c>
      <c r="U263" s="1365" t="s">
        <v>937</v>
      </c>
      <c r="V263" s="1314">
        <f t="shared" si="28"/>
        <v>1504.8169999999991</v>
      </c>
      <c r="AB263" s="15"/>
    </row>
    <row r="264" spans="1:36" s="515" customFormat="1" ht="15">
      <c r="A264" s="510"/>
      <c r="B264" s="1094"/>
      <c r="C264" s="1350"/>
      <c r="D264" s="1351"/>
      <c r="E264" s="1352"/>
      <c r="F264" s="1353"/>
      <c r="G264" s="1354"/>
      <c r="H264" s="1352"/>
      <c r="I264" s="1355"/>
      <c r="J264" s="1356"/>
      <c r="K264" s="1357"/>
      <c r="L264" s="1358"/>
      <c r="M264" s="1359"/>
      <c r="N264" s="1360"/>
      <c r="O264" s="1361"/>
      <c r="P264" s="1358"/>
      <c r="Q264" s="1482"/>
      <c r="R264" s="1362"/>
      <c r="S264" s="1363"/>
      <c r="T264" s="1364"/>
      <c r="U264" s="1365"/>
      <c r="V264" s="1314">
        <f t="shared" si="28"/>
        <v>1504.8169999999991</v>
      </c>
      <c r="W264" s="8"/>
      <c r="X264" s="8"/>
      <c r="AB264" s="961"/>
    </row>
    <row r="265" spans="1:36" s="515" customFormat="1" ht="15">
      <c r="A265" s="510"/>
      <c r="B265" s="128"/>
      <c r="C265" s="967"/>
      <c r="D265" s="1096"/>
      <c r="E265" s="1097"/>
      <c r="F265" s="1098"/>
      <c r="G265" s="1099"/>
      <c r="H265" s="1097"/>
      <c r="I265" s="1100"/>
      <c r="J265" s="1101"/>
      <c r="K265" s="1102"/>
      <c r="L265" s="978"/>
      <c r="M265" s="1103"/>
      <c r="N265" s="979"/>
      <c r="O265" s="1112"/>
      <c r="P265" s="978"/>
      <c r="Q265" s="1113"/>
      <c r="R265" s="980"/>
      <c r="S265" s="1114"/>
      <c r="T265" s="1027"/>
      <c r="U265" s="954"/>
      <c r="V265" s="1314">
        <f t="shared" si="28"/>
        <v>1504.8169999999991</v>
      </c>
      <c r="W265" s="8"/>
      <c r="X265" s="8"/>
      <c r="AB265" s="961"/>
    </row>
    <row r="266" spans="1:36" s="8" customFormat="1" ht="15.75">
      <c r="A266" s="516"/>
      <c r="B266" s="923"/>
      <c r="C266" s="891"/>
      <c r="D266" s="2436" t="s">
        <v>18</v>
      </c>
      <c r="E266" s="2437"/>
      <c r="F266" s="2437"/>
      <c r="G266" s="2437"/>
      <c r="H266" s="2437"/>
      <c r="I266" s="2438"/>
      <c r="J266" s="2439">
        <f>VLOOKUP(A268,'12 - FINANCEIRA'!_xlnm.Print_Area,6,FALSE)</f>
        <v>6951.43</v>
      </c>
      <c r="K266" s="2440"/>
      <c r="L266" s="519" t="str">
        <f>VLOOKUP(A268,'12 - FINANCEIRA'!_xlnm.Print_Area,4,FALSE)</f>
        <v>m³</v>
      </c>
      <c r="M266" s="2441" t="s">
        <v>19</v>
      </c>
      <c r="N266" s="2442"/>
      <c r="O266" s="2442"/>
      <c r="P266" s="2442"/>
      <c r="Q266" s="2443"/>
      <c r="R266" s="878">
        <f>SUM(R262:R265)</f>
        <v>6951.4259999999995</v>
      </c>
      <c r="S266" s="520" t="str">
        <f>L266</f>
        <v>m³</v>
      </c>
      <c r="T266" s="661"/>
      <c r="U266" s="662"/>
      <c r="V266" s="1314">
        <f t="shared" si="28"/>
        <v>1504.8169999999991</v>
      </c>
      <c r="AB266" s="15"/>
    </row>
    <row r="267" spans="1:36" s="8" customFormat="1" ht="15.75">
      <c r="A267" s="516"/>
      <c r="B267" s="877"/>
      <c r="C267" s="681"/>
      <c r="D267" s="2444" t="s">
        <v>20</v>
      </c>
      <c r="E267" s="2445"/>
      <c r="F267" s="2445"/>
      <c r="G267" s="2445"/>
      <c r="H267" s="2445"/>
      <c r="I267" s="2446"/>
      <c r="J267" s="2450">
        <f>R266/J266</f>
        <v>0.99999942457882751</v>
      </c>
      <c r="K267" s="2451"/>
      <c r="L267" s="2454"/>
      <c r="M267" s="2441" t="s">
        <v>21</v>
      </c>
      <c r="N267" s="2442"/>
      <c r="O267" s="2442"/>
      <c r="P267" s="2442"/>
      <c r="Q267" s="2443"/>
      <c r="R267" s="878">
        <f>VLOOKUP(A268,'12 - FINANCEIRA'!_xlnm.Print_Area,8,FALSE)</f>
        <v>5446.6090000000004</v>
      </c>
      <c r="S267" s="879" t="str">
        <f>L266</f>
        <v>m³</v>
      </c>
      <c r="T267" s="680"/>
      <c r="U267" s="663"/>
      <c r="V267" s="1314">
        <f t="shared" si="28"/>
        <v>1504.8169999999991</v>
      </c>
      <c r="AB267" s="15"/>
    </row>
    <row r="268" spans="1:36" s="8" customFormat="1" ht="15.75">
      <c r="A268" s="516" t="s">
        <v>463</v>
      </c>
      <c r="B268" s="880"/>
      <c r="C268" s="885"/>
      <c r="D268" s="2475"/>
      <c r="E268" s="2460"/>
      <c r="F268" s="2460"/>
      <c r="G268" s="2460"/>
      <c r="H268" s="2460"/>
      <c r="I268" s="2476"/>
      <c r="J268" s="2452"/>
      <c r="K268" s="2453"/>
      <c r="L268" s="2483"/>
      <c r="M268" s="2441" t="s">
        <v>22</v>
      </c>
      <c r="N268" s="2442"/>
      <c r="O268" s="2442"/>
      <c r="P268" s="2442"/>
      <c r="Q268" s="2443"/>
      <c r="R268" s="878">
        <f>R266-R267</f>
        <v>1504.8169999999991</v>
      </c>
      <c r="S268" s="879" t="str">
        <f>L266</f>
        <v>m³</v>
      </c>
      <c r="T268" s="886"/>
      <c r="U268" s="881"/>
      <c r="V268" s="1314">
        <f>R268</f>
        <v>1504.8169999999991</v>
      </c>
      <c r="AB268" s="15"/>
    </row>
    <row r="269" spans="1:36" s="8" customFormat="1" ht="15.75">
      <c r="A269" s="516"/>
      <c r="B269" s="523"/>
      <c r="C269" s="524"/>
      <c r="D269" s="526"/>
      <c r="E269" s="526"/>
      <c r="F269" s="526"/>
      <c r="G269" s="525"/>
      <c r="H269" s="525"/>
      <c r="I269" s="525"/>
      <c r="J269" s="527"/>
      <c r="K269" s="528"/>
      <c r="L269" s="529"/>
      <c r="M269" s="530"/>
      <c r="N269" s="530"/>
      <c r="O269" s="530"/>
      <c r="P269" s="530"/>
      <c r="Q269" s="530"/>
      <c r="R269" s="531"/>
      <c r="S269" s="532"/>
      <c r="T269" s="533"/>
      <c r="U269" s="534"/>
      <c r="V269" s="1658">
        <f>SUM(V260:V268)</f>
        <v>13543.352999999992</v>
      </c>
      <c r="AB269" s="15"/>
    </row>
    <row r="270" spans="1:36" s="494" customFormat="1" ht="15.75">
      <c r="A270" s="943"/>
      <c r="B270" s="489" t="s">
        <v>450</v>
      </c>
      <c r="C270" s="490" t="str">
        <f>VLOOKUP(B270,'12 - FINANCEIRA'!_xlnm.Print_Area,2,FALSE)</f>
        <v>DRENAGEM PLUVIAL</v>
      </c>
      <c r="D270" s="491"/>
      <c r="E270" s="491"/>
      <c r="F270" s="491"/>
      <c r="G270" s="2492"/>
      <c r="H270" s="2493"/>
      <c r="I270" s="2493"/>
      <c r="J270" s="2493"/>
      <c r="K270" s="2493"/>
      <c r="L270" s="2493"/>
      <c r="M270" s="492"/>
      <c r="N270" s="493"/>
      <c r="O270" s="2493"/>
      <c r="P270" s="2493"/>
      <c r="Q270" s="2493"/>
      <c r="R270" s="2493"/>
      <c r="S270" s="892"/>
      <c r="U270" s="683"/>
      <c r="V270" s="487">
        <f>SUM(V271:V327)</f>
        <v>288</v>
      </c>
    </row>
    <row r="271" spans="1:36" s="497" customFormat="1" ht="15.75">
      <c r="A271" s="495"/>
      <c r="B271" s="2423" t="str">
        <f>VLOOKUP(A285,'12 - FINANCEIRA'!_xlnm.Print_Area,1,FALSE)</f>
        <v>2.2.1</v>
      </c>
      <c r="C271" s="2421" t="str">
        <f>VLOOKUP(A285,'12 - FINANCEIRA'!_xlnm.Print_Area,3,FALSE)</f>
        <v>Tampão FOFO articulado, classe B125 carga max 12,5 t, redondo tampa 600 mm, rede pluvial/esgoto, p = chamine cx areia / poço visita assentado com arg cim/areia 1:4, fornecimento e assentamento</v>
      </c>
      <c r="D271" s="2479" t="s">
        <v>97</v>
      </c>
      <c r="E271" s="2480"/>
      <c r="F271" s="2480"/>
      <c r="G271" s="2480"/>
      <c r="H271" s="2480"/>
      <c r="I271" s="2481"/>
      <c r="J271" s="2416" t="s">
        <v>98</v>
      </c>
      <c r="K271" s="2416" t="s">
        <v>102</v>
      </c>
      <c r="L271" s="2416" t="s">
        <v>103</v>
      </c>
      <c r="M271" s="2416" t="s">
        <v>228</v>
      </c>
      <c r="N271" s="2416" t="s">
        <v>229</v>
      </c>
      <c r="O271" s="2416" t="s">
        <v>107</v>
      </c>
      <c r="P271" s="2416" t="s">
        <v>1030</v>
      </c>
      <c r="Q271" s="2416" t="s">
        <v>16</v>
      </c>
      <c r="R271" s="2425" t="s">
        <v>2</v>
      </c>
      <c r="S271" s="2416" t="s">
        <v>99</v>
      </c>
      <c r="T271" s="2416" t="s">
        <v>17</v>
      </c>
      <c r="U271" s="2428" t="s">
        <v>362</v>
      </c>
      <c r="V271" s="870">
        <f t="shared" ref="V271:V284" si="29">V272</f>
        <v>9</v>
      </c>
      <c r="W271" s="26"/>
      <c r="X271" s="26"/>
      <c r="Y271" s="26"/>
      <c r="Z271" s="27"/>
      <c r="AA271" s="9"/>
      <c r="AB271" s="9"/>
      <c r="AC271" s="9"/>
      <c r="AD271" s="9"/>
      <c r="AE271" s="9"/>
      <c r="AF271" s="9"/>
      <c r="AG271" s="9"/>
      <c r="AH271" s="9"/>
      <c r="AI271" s="9"/>
      <c r="AJ271" s="9"/>
    </row>
    <row r="272" spans="1:36" s="497" customFormat="1" ht="54" customHeight="1">
      <c r="A272" s="495"/>
      <c r="B272" s="2471" t="e">
        <f>LEFT(#REF!,5)</f>
        <v>#REF!</v>
      </c>
      <c r="C272" s="2472" t="e">
        <f>VLOOKUP(LEFT(#REF!,5),'12 - FINANCEIRA'!_xlnm.Print_Area,2,FALSE)</f>
        <v>#REF!</v>
      </c>
      <c r="D272" s="2430" t="s">
        <v>14</v>
      </c>
      <c r="E272" s="2431"/>
      <c r="F272" s="2432"/>
      <c r="G272" s="2433" t="s">
        <v>15</v>
      </c>
      <c r="H272" s="2434"/>
      <c r="I272" s="2435"/>
      <c r="J272" s="2427"/>
      <c r="K272" s="2427"/>
      <c r="L272" s="2427"/>
      <c r="M272" s="2427"/>
      <c r="N272" s="2427"/>
      <c r="O272" s="2427"/>
      <c r="P272" s="2417"/>
      <c r="Q272" s="2427"/>
      <c r="R272" s="2426"/>
      <c r="S272" s="2427"/>
      <c r="T272" s="2427"/>
      <c r="U272" s="2429"/>
      <c r="V272" s="870">
        <f t="shared" si="29"/>
        <v>9</v>
      </c>
      <c r="W272" s="26"/>
      <c r="X272" s="26"/>
      <c r="Y272" s="26"/>
      <c r="Z272" s="27"/>
      <c r="AA272" s="9"/>
      <c r="AB272" s="9"/>
      <c r="AC272" s="9"/>
      <c r="AD272" s="9"/>
      <c r="AE272" s="9"/>
      <c r="AF272" s="9"/>
      <c r="AG272" s="9"/>
      <c r="AH272" s="9"/>
      <c r="AI272" s="9"/>
      <c r="AJ272" s="9"/>
    </row>
    <row r="273" spans="1:36" s="9" customFormat="1" ht="15">
      <c r="A273" s="944"/>
      <c r="B273" s="921"/>
      <c r="C273" s="176" t="s">
        <v>1054</v>
      </c>
      <c r="D273" s="175"/>
      <c r="E273" s="174"/>
      <c r="F273" s="173"/>
      <c r="G273" s="1281"/>
      <c r="H273" s="174"/>
      <c r="I273" s="1282"/>
      <c r="J273" s="172"/>
      <c r="K273" s="1283"/>
      <c r="L273" s="171"/>
      <c r="M273" s="770"/>
      <c r="N273" s="771"/>
      <c r="O273" s="182"/>
      <c r="P273" s="171"/>
      <c r="Q273" s="893"/>
      <c r="R273" s="535">
        <v>6</v>
      </c>
      <c r="S273" s="1290" t="s">
        <v>101</v>
      </c>
      <c r="T273" s="772" t="s">
        <v>80</v>
      </c>
      <c r="U273" s="1881" t="s">
        <v>1093</v>
      </c>
      <c r="V273" s="870">
        <f t="shared" si="29"/>
        <v>9</v>
      </c>
      <c r="W273" s="26"/>
      <c r="X273" s="26"/>
      <c r="Y273" s="26"/>
      <c r="Z273" s="27"/>
      <c r="AA273" s="41"/>
      <c r="AB273" s="42"/>
    </row>
    <row r="274" spans="1:36" s="9" customFormat="1" ht="30">
      <c r="A274" s="944"/>
      <c r="B274" s="1479"/>
      <c r="C274" s="1682" t="s">
        <v>1054</v>
      </c>
      <c r="D274" s="1686">
        <v>0</v>
      </c>
      <c r="E274" s="1687" t="s">
        <v>68</v>
      </c>
      <c r="F274" s="1695">
        <v>3</v>
      </c>
      <c r="G274" s="1689"/>
      <c r="H274" s="1690"/>
      <c r="I274" s="1691"/>
      <c r="J274" s="260" t="s">
        <v>105</v>
      </c>
      <c r="K274" s="261"/>
      <c r="L274" s="1683"/>
      <c r="M274" s="1692"/>
      <c r="N274" s="1684"/>
      <c r="O274" s="1681"/>
      <c r="P274" s="1683"/>
      <c r="Q274" s="1693"/>
      <c r="R274" s="508">
        <v>1</v>
      </c>
      <c r="S274" s="509" t="s">
        <v>101</v>
      </c>
      <c r="T274" s="1618" t="s">
        <v>90</v>
      </c>
      <c r="U274" s="1694" t="s">
        <v>1064</v>
      </c>
      <c r="V274" s="870">
        <f t="shared" si="29"/>
        <v>9</v>
      </c>
      <c r="W274" s="26"/>
      <c r="X274" s="26"/>
      <c r="Y274" s="26"/>
      <c r="Z274" s="27"/>
      <c r="AA274" s="41"/>
      <c r="AB274" s="42"/>
    </row>
    <row r="275" spans="1:36" s="9" customFormat="1" ht="30">
      <c r="A275" s="944"/>
      <c r="B275" s="1479"/>
      <c r="C275" s="981" t="s">
        <v>1054</v>
      </c>
      <c r="D275" s="1611">
        <v>2</v>
      </c>
      <c r="E275" s="1612" t="s">
        <v>68</v>
      </c>
      <c r="F275" s="1613">
        <v>17</v>
      </c>
      <c r="G275" s="1831"/>
      <c r="H275" s="1049"/>
      <c r="I275" s="1832"/>
      <c r="J275" s="1051" t="s">
        <v>105</v>
      </c>
      <c r="K275" s="1833"/>
      <c r="L275" s="982"/>
      <c r="M275" s="983"/>
      <c r="N275" s="1052"/>
      <c r="O275" s="984"/>
      <c r="P275" s="982"/>
      <c r="Q275" s="1041"/>
      <c r="R275" s="1418">
        <v>1</v>
      </c>
      <c r="S275" s="1419" t="s">
        <v>101</v>
      </c>
      <c r="T275" s="986" t="s">
        <v>90</v>
      </c>
      <c r="U275" s="1694" t="s">
        <v>1064</v>
      </c>
      <c r="V275" s="870">
        <f t="shared" si="29"/>
        <v>9</v>
      </c>
      <c r="W275" s="26"/>
      <c r="X275" s="26"/>
      <c r="Y275" s="26"/>
      <c r="Z275" s="27"/>
      <c r="AA275" s="41"/>
      <c r="AB275" s="42"/>
    </row>
    <row r="276" spans="1:36" s="9" customFormat="1" ht="30">
      <c r="A276" s="944"/>
      <c r="B276" s="1479"/>
      <c r="C276" s="1682" t="s">
        <v>1054</v>
      </c>
      <c r="D276" s="1686">
        <v>5</v>
      </c>
      <c r="E276" s="1687" t="s">
        <v>68</v>
      </c>
      <c r="F276" s="1695">
        <v>16</v>
      </c>
      <c r="G276" s="1689"/>
      <c r="H276" s="1690"/>
      <c r="I276" s="1691"/>
      <c r="J276" s="260" t="s">
        <v>105</v>
      </c>
      <c r="K276" s="261"/>
      <c r="L276" s="1683"/>
      <c r="M276" s="1692"/>
      <c r="N276" s="1684"/>
      <c r="O276" s="1681"/>
      <c r="P276" s="1683"/>
      <c r="Q276" s="1693"/>
      <c r="R276" s="508">
        <v>1</v>
      </c>
      <c r="S276" s="509" t="s">
        <v>101</v>
      </c>
      <c r="T276" s="1618" t="s">
        <v>90</v>
      </c>
      <c r="U276" s="1694" t="s">
        <v>1064</v>
      </c>
      <c r="V276" s="870">
        <f t="shared" si="29"/>
        <v>9</v>
      </c>
      <c r="W276" s="26"/>
      <c r="X276" s="26"/>
      <c r="Y276" s="26"/>
      <c r="Z276" s="27"/>
      <c r="AA276" s="41"/>
      <c r="AB276" s="42"/>
    </row>
    <row r="277" spans="1:36" s="9" customFormat="1" ht="30">
      <c r="A277" s="944"/>
      <c r="B277" s="1479"/>
      <c r="C277" s="1682" t="s">
        <v>1054</v>
      </c>
      <c r="D277" s="1686">
        <v>8</v>
      </c>
      <c r="E277" s="1687" t="s">
        <v>68</v>
      </c>
      <c r="F277" s="1695">
        <v>12</v>
      </c>
      <c r="G277" s="1689"/>
      <c r="H277" s="1690"/>
      <c r="I277" s="1691"/>
      <c r="J277" s="260" t="s">
        <v>105</v>
      </c>
      <c r="K277" s="261"/>
      <c r="L277" s="1683"/>
      <c r="M277" s="1692"/>
      <c r="N277" s="1684"/>
      <c r="O277" s="1681"/>
      <c r="P277" s="1683"/>
      <c r="Q277" s="1693"/>
      <c r="R277" s="508">
        <v>1</v>
      </c>
      <c r="S277" s="509" t="s">
        <v>101</v>
      </c>
      <c r="T277" s="1618" t="s">
        <v>90</v>
      </c>
      <c r="U277" s="1694" t="s">
        <v>1065</v>
      </c>
      <c r="V277" s="870">
        <f t="shared" si="29"/>
        <v>9</v>
      </c>
      <c r="W277" s="26"/>
      <c r="X277" s="26"/>
      <c r="Y277" s="26"/>
      <c r="Z277" s="27"/>
      <c r="AA277" s="41"/>
      <c r="AB277" s="42"/>
    </row>
    <row r="278" spans="1:36" s="9" customFormat="1" ht="30">
      <c r="A278" s="944"/>
      <c r="B278" s="1479"/>
      <c r="C278" s="1682" t="s">
        <v>1054</v>
      </c>
      <c r="D278" s="1686">
        <v>10</v>
      </c>
      <c r="E278" s="1687" t="s">
        <v>68</v>
      </c>
      <c r="F278" s="1695">
        <v>1</v>
      </c>
      <c r="G278" s="1689"/>
      <c r="H278" s="1690"/>
      <c r="I278" s="1691"/>
      <c r="J278" s="260" t="s">
        <v>105</v>
      </c>
      <c r="K278" s="261"/>
      <c r="L278" s="1683"/>
      <c r="M278" s="1692"/>
      <c r="N278" s="1684"/>
      <c r="O278" s="1681"/>
      <c r="P278" s="1683"/>
      <c r="Q278" s="1693"/>
      <c r="R278" s="508">
        <v>1</v>
      </c>
      <c r="S278" s="509" t="s">
        <v>101</v>
      </c>
      <c r="T278" s="1618" t="s">
        <v>90</v>
      </c>
      <c r="U278" s="1694" t="s">
        <v>1065</v>
      </c>
      <c r="V278" s="870">
        <f t="shared" si="29"/>
        <v>9</v>
      </c>
      <c r="W278" s="26"/>
      <c r="X278" s="26"/>
      <c r="Y278" s="26"/>
      <c r="Z278" s="27"/>
      <c r="AA278" s="41"/>
      <c r="AB278" s="42"/>
    </row>
    <row r="279" spans="1:36" s="9" customFormat="1" ht="30">
      <c r="A279" s="944"/>
      <c r="B279" s="1479"/>
      <c r="C279" s="1682" t="s">
        <v>1054</v>
      </c>
      <c r="D279" s="1686">
        <v>14</v>
      </c>
      <c r="E279" s="1687" t="s">
        <v>68</v>
      </c>
      <c r="F279" s="1695">
        <v>5</v>
      </c>
      <c r="G279" s="1689"/>
      <c r="H279" s="1690"/>
      <c r="I279" s="1691"/>
      <c r="J279" s="260" t="s">
        <v>105</v>
      </c>
      <c r="K279" s="261"/>
      <c r="L279" s="1683"/>
      <c r="M279" s="1692"/>
      <c r="N279" s="1684"/>
      <c r="O279" s="1681"/>
      <c r="P279" s="1683"/>
      <c r="Q279" s="1693"/>
      <c r="R279" s="508">
        <v>1</v>
      </c>
      <c r="S279" s="509" t="s">
        <v>101</v>
      </c>
      <c r="T279" s="1618" t="s">
        <v>90</v>
      </c>
      <c r="U279" s="1694" t="s">
        <v>1065</v>
      </c>
      <c r="V279" s="870">
        <f t="shared" si="29"/>
        <v>9</v>
      </c>
      <c r="W279" s="26"/>
      <c r="X279" s="26"/>
      <c r="Y279" s="26"/>
      <c r="Z279" s="27"/>
      <c r="AA279" s="41"/>
      <c r="AB279" s="42"/>
    </row>
    <row r="280" spans="1:36" s="9" customFormat="1" ht="30">
      <c r="A280" s="944"/>
      <c r="B280" s="1479"/>
      <c r="C280" s="1682" t="s">
        <v>1054</v>
      </c>
      <c r="D280" s="1686">
        <v>16</v>
      </c>
      <c r="E280" s="1687" t="s">
        <v>68</v>
      </c>
      <c r="F280" s="1695">
        <v>18</v>
      </c>
      <c r="G280" s="1689"/>
      <c r="H280" s="1690"/>
      <c r="I280" s="1691"/>
      <c r="J280" s="260" t="s">
        <v>105</v>
      </c>
      <c r="K280" s="261"/>
      <c r="L280" s="1683"/>
      <c r="M280" s="1692"/>
      <c r="N280" s="1684"/>
      <c r="O280" s="1681"/>
      <c r="P280" s="1683"/>
      <c r="Q280" s="1693"/>
      <c r="R280" s="508">
        <v>1</v>
      </c>
      <c r="S280" s="509" t="s">
        <v>101</v>
      </c>
      <c r="T280" s="1618" t="s">
        <v>90</v>
      </c>
      <c r="U280" s="1694" t="s">
        <v>1092</v>
      </c>
      <c r="V280" s="870">
        <f t="shared" si="29"/>
        <v>9</v>
      </c>
      <c r="W280" s="26"/>
      <c r="X280" s="26"/>
      <c r="Y280" s="26"/>
      <c r="Z280" s="27"/>
      <c r="AA280" s="41"/>
      <c r="AB280" s="42"/>
    </row>
    <row r="281" spans="1:36" s="9" customFormat="1" ht="30">
      <c r="A281" s="944"/>
      <c r="B281" s="500"/>
      <c r="C281" s="76" t="s">
        <v>1054</v>
      </c>
      <c r="D281" s="1611">
        <v>100</v>
      </c>
      <c r="E281" s="1612" t="s">
        <v>68</v>
      </c>
      <c r="F281" s="1613">
        <v>0</v>
      </c>
      <c r="G281" s="965"/>
      <c r="H281" s="963"/>
      <c r="I281" s="966"/>
      <c r="J281" s="77" t="s">
        <v>105</v>
      </c>
      <c r="K281" s="973"/>
      <c r="L281" s="215"/>
      <c r="M281" s="969"/>
      <c r="N281" s="970"/>
      <c r="O281" s="224"/>
      <c r="P281" s="215"/>
      <c r="Q281" s="971"/>
      <c r="R281" s="1418">
        <v>1</v>
      </c>
      <c r="S281" s="1419" t="s">
        <v>101</v>
      </c>
      <c r="T281" s="972" t="s">
        <v>90</v>
      </c>
      <c r="U281" s="956" t="s">
        <v>1066</v>
      </c>
      <c r="V281" s="870">
        <f t="shared" si="29"/>
        <v>9</v>
      </c>
      <c r="W281" s="26"/>
      <c r="X281" s="26"/>
      <c r="Y281" s="26"/>
      <c r="Z281" s="27"/>
      <c r="AA281" s="41"/>
      <c r="AB281" s="42"/>
    </row>
    <row r="282" spans="1:36" s="9" customFormat="1" ht="30">
      <c r="A282" s="944"/>
      <c r="B282" s="1045"/>
      <c r="C282" s="127" t="s">
        <v>1054</v>
      </c>
      <c r="D282" s="1713">
        <v>102</v>
      </c>
      <c r="E282" s="1714" t="s">
        <v>68</v>
      </c>
      <c r="F282" s="1715">
        <v>10</v>
      </c>
      <c r="G282" s="126"/>
      <c r="H282" s="125"/>
      <c r="I282" s="124"/>
      <c r="J282" s="123" t="s">
        <v>105</v>
      </c>
      <c r="K282" s="122"/>
      <c r="L282" s="119"/>
      <c r="M282" s="121"/>
      <c r="N282" s="1758"/>
      <c r="O282" s="120"/>
      <c r="P282" s="119"/>
      <c r="Q282" s="246"/>
      <c r="R282" s="1756">
        <v>1</v>
      </c>
      <c r="S282" s="959" t="s">
        <v>101</v>
      </c>
      <c r="T282" s="960" t="s">
        <v>90</v>
      </c>
      <c r="U282" s="1078" t="s">
        <v>1066</v>
      </c>
      <c r="V282" s="870">
        <f t="shared" si="29"/>
        <v>9</v>
      </c>
      <c r="W282" s="26"/>
      <c r="X282" s="26"/>
      <c r="Y282" s="26"/>
      <c r="Z282" s="27"/>
      <c r="AA282" s="41"/>
      <c r="AB282" s="42"/>
    </row>
    <row r="283" spans="1:36" s="8" customFormat="1" ht="15.75">
      <c r="A283" s="516"/>
      <c r="B283" s="877"/>
      <c r="C283" s="113"/>
      <c r="D283" s="2475" t="s">
        <v>18</v>
      </c>
      <c r="E283" s="2460"/>
      <c r="F283" s="2460"/>
      <c r="G283" s="2460"/>
      <c r="H283" s="2460"/>
      <c r="I283" s="2476"/>
      <c r="J283" s="2484">
        <f>VLOOKUP(A285,'12 - FINANCEIRA'!_xlnm.Print_Area,6,FALSE)</f>
        <v>15</v>
      </c>
      <c r="K283" s="2485"/>
      <c r="L283" s="910" t="str">
        <f>VLOOKUP(A285,'12 - FINANCEIRA'!_xlnm.Print_Area,4,FALSE)</f>
        <v>und</v>
      </c>
      <c r="M283" s="2486" t="s">
        <v>19</v>
      </c>
      <c r="N283" s="2465"/>
      <c r="O283" s="2465"/>
      <c r="P283" s="2465"/>
      <c r="Q283" s="2487"/>
      <c r="R283" s="904">
        <f>SUM(R273:R282)</f>
        <v>15</v>
      </c>
      <c r="S283" s="905" t="str">
        <f>L283</f>
        <v>und</v>
      </c>
      <c r="T283" s="680"/>
      <c r="U283" s="663"/>
      <c r="V283" s="870">
        <f t="shared" si="29"/>
        <v>9</v>
      </c>
      <c r="AB283" s="15"/>
    </row>
    <row r="284" spans="1:36" s="8" customFormat="1" ht="15.75">
      <c r="A284" s="516"/>
      <c r="B284" s="877"/>
      <c r="C284" s="681"/>
      <c r="D284" s="2444" t="s">
        <v>20</v>
      </c>
      <c r="E284" s="2445"/>
      <c r="F284" s="2445"/>
      <c r="G284" s="2445"/>
      <c r="H284" s="2445"/>
      <c r="I284" s="2446"/>
      <c r="J284" s="2450">
        <f>R283/J283</f>
        <v>1</v>
      </c>
      <c r="K284" s="2451"/>
      <c r="L284" s="2454"/>
      <c r="M284" s="2441" t="s">
        <v>21</v>
      </c>
      <c r="N284" s="2442"/>
      <c r="O284" s="2442"/>
      <c r="P284" s="2442"/>
      <c r="Q284" s="2443"/>
      <c r="R284" s="878">
        <f>VLOOKUP(A285,'12 - FINANCEIRA'!_xlnm.Print_Area,8,FALSE)</f>
        <v>6</v>
      </c>
      <c r="S284" s="879" t="str">
        <f>L283</f>
        <v>und</v>
      </c>
      <c r="T284" s="680"/>
      <c r="U284" s="663"/>
      <c r="V284" s="870">
        <f t="shared" si="29"/>
        <v>9</v>
      </c>
      <c r="AB284" s="15"/>
    </row>
    <row r="285" spans="1:36" s="8" customFormat="1" ht="15.75">
      <c r="A285" s="516" t="s">
        <v>478</v>
      </c>
      <c r="B285" s="877"/>
      <c r="C285" s="113"/>
      <c r="D285" s="2447"/>
      <c r="E285" s="2448"/>
      <c r="F285" s="2448"/>
      <c r="G285" s="2448"/>
      <c r="H285" s="2448"/>
      <c r="I285" s="2449"/>
      <c r="J285" s="2452"/>
      <c r="K285" s="2453"/>
      <c r="L285" s="2455"/>
      <c r="M285" s="2456" t="s">
        <v>22</v>
      </c>
      <c r="N285" s="2457"/>
      <c r="O285" s="2457"/>
      <c r="P285" s="2457"/>
      <c r="Q285" s="2458"/>
      <c r="R285" s="521">
        <f>R283-R284</f>
        <v>9</v>
      </c>
      <c r="S285" s="522" t="str">
        <f>L283</f>
        <v>und</v>
      </c>
      <c r="T285" s="680"/>
      <c r="U285" s="663"/>
      <c r="V285" s="870">
        <f>R285</f>
        <v>9</v>
      </c>
      <c r="AB285" s="15"/>
    </row>
    <row r="286" spans="1:36" s="8" customFormat="1" ht="15.75">
      <c r="A286" s="516"/>
      <c r="B286" s="523"/>
      <c r="C286" s="524"/>
      <c r="D286" s="526"/>
      <c r="E286" s="526"/>
      <c r="F286" s="526"/>
      <c r="G286" s="525"/>
      <c r="H286" s="525"/>
      <c r="I286" s="525"/>
      <c r="J286" s="527"/>
      <c r="K286" s="528"/>
      <c r="L286" s="529"/>
      <c r="M286" s="530"/>
      <c r="N286" s="530"/>
      <c r="O286" s="530"/>
      <c r="P286" s="530"/>
      <c r="Q286" s="530"/>
      <c r="R286" s="531"/>
      <c r="S286" s="532"/>
      <c r="T286" s="533"/>
      <c r="U286" s="534"/>
      <c r="V286" s="871">
        <f>SUM(V271:V285)</f>
        <v>135</v>
      </c>
      <c r="AB286" s="15"/>
    </row>
    <row r="287" spans="1:36" s="497" customFormat="1" ht="15.75" hidden="1">
      <c r="A287" s="495"/>
      <c r="B287" s="2423" t="str">
        <f>VLOOKUP(A296,'12 - FINANCEIRA'!_xlnm.Print_Area,1,FALSE)</f>
        <v>2.2.2</v>
      </c>
      <c r="C287" s="2421" t="str">
        <f>VLOOKUP(A296,'12 - FINANCEIRA'!_xlnm.Print_Area,3,FALSE)</f>
        <v>Corpo de BSTC D = 0,40 m CA2 - areia, brita e pedra de mão comerciais</v>
      </c>
      <c r="D287" s="2479" t="s">
        <v>97</v>
      </c>
      <c r="E287" s="2480"/>
      <c r="F287" s="2480"/>
      <c r="G287" s="2480"/>
      <c r="H287" s="2480"/>
      <c r="I287" s="2481"/>
      <c r="J287" s="2416" t="s">
        <v>98</v>
      </c>
      <c r="K287" s="2416" t="s">
        <v>102</v>
      </c>
      <c r="L287" s="2416" t="s">
        <v>103</v>
      </c>
      <c r="M287" s="2416" t="s">
        <v>228</v>
      </c>
      <c r="N287" s="2416" t="s">
        <v>229</v>
      </c>
      <c r="O287" s="2416" t="s">
        <v>107</v>
      </c>
      <c r="P287" s="496" t="s">
        <v>153</v>
      </c>
      <c r="Q287" s="2416" t="s">
        <v>16</v>
      </c>
      <c r="R287" s="2425" t="s">
        <v>2</v>
      </c>
      <c r="S287" s="2416" t="s">
        <v>99</v>
      </c>
      <c r="T287" s="2416" t="s">
        <v>17</v>
      </c>
      <c r="U287" s="2428" t="s">
        <v>362</v>
      </c>
      <c r="V287" s="870">
        <f t="shared" ref="V287:V295" si="30">V288</f>
        <v>0</v>
      </c>
      <c r="W287" s="26"/>
      <c r="X287" s="26"/>
      <c r="Y287" s="26"/>
      <c r="Z287" s="27"/>
      <c r="AA287" s="9"/>
      <c r="AB287" s="9"/>
      <c r="AC287" s="9"/>
      <c r="AD287" s="9"/>
      <c r="AE287" s="9"/>
      <c r="AF287" s="9"/>
      <c r="AG287" s="9"/>
      <c r="AH287" s="9"/>
      <c r="AI287" s="9"/>
      <c r="AJ287" s="9"/>
    </row>
    <row r="288" spans="1:36" s="497" customFormat="1" ht="15.75" hidden="1">
      <c r="A288" s="495"/>
      <c r="B288" s="2471" t="e">
        <f>LEFT(#REF!,5)</f>
        <v>#REF!</v>
      </c>
      <c r="C288" s="2472" t="e">
        <f>VLOOKUP(LEFT(#REF!,5),'12 - FINANCEIRA'!_xlnm.Print_Area,2,FALSE)</f>
        <v>#REF!</v>
      </c>
      <c r="D288" s="2430" t="s">
        <v>14</v>
      </c>
      <c r="E288" s="2431"/>
      <c r="F288" s="2432"/>
      <c r="G288" s="2433" t="s">
        <v>15</v>
      </c>
      <c r="H288" s="2434"/>
      <c r="I288" s="2435"/>
      <c r="J288" s="2427"/>
      <c r="K288" s="2427"/>
      <c r="L288" s="2427"/>
      <c r="M288" s="2427"/>
      <c r="N288" s="2427"/>
      <c r="O288" s="2427"/>
      <c r="P288" s="498" t="s">
        <v>104</v>
      </c>
      <c r="Q288" s="2427"/>
      <c r="R288" s="2426"/>
      <c r="S288" s="2427"/>
      <c r="T288" s="2427"/>
      <c r="U288" s="2429"/>
      <c r="V288" s="870">
        <f t="shared" si="30"/>
        <v>0</v>
      </c>
      <c r="W288" s="26"/>
      <c r="X288" s="26"/>
      <c r="Y288" s="26"/>
      <c r="Z288" s="27"/>
      <c r="AA288" s="9"/>
      <c r="AB288" s="9"/>
      <c r="AC288" s="9"/>
      <c r="AD288" s="9"/>
      <c r="AE288" s="9"/>
      <c r="AF288" s="9"/>
      <c r="AG288" s="9"/>
      <c r="AH288" s="9"/>
      <c r="AI288" s="9"/>
      <c r="AJ288" s="9"/>
    </row>
    <row r="289" spans="1:36" s="9" customFormat="1" ht="30" hidden="1">
      <c r="A289" s="944"/>
      <c r="B289" s="922"/>
      <c r="C289" s="58" t="s">
        <v>888</v>
      </c>
      <c r="D289" s="82">
        <v>100</v>
      </c>
      <c r="E289" s="44" t="s">
        <v>68</v>
      </c>
      <c r="F289" s="83">
        <v>0</v>
      </c>
      <c r="G289" s="82">
        <v>113</v>
      </c>
      <c r="H289" s="44" t="s">
        <v>68</v>
      </c>
      <c r="I289" s="83">
        <v>14.75</v>
      </c>
      <c r="J289" s="46"/>
      <c r="K289" s="47">
        <f>(G289-D289)*20+I289-F289</f>
        <v>274.75</v>
      </c>
      <c r="L289" s="48"/>
      <c r="M289" s="49"/>
      <c r="N289" s="211"/>
      <c r="O289" s="50"/>
      <c r="P289" s="48"/>
      <c r="Q289" s="209"/>
      <c r="R289" s="535">
        <v>50</v>
      </c>
      <c r="S289" s="876" t="s">
        <v>8</v>
      </c>
      <c r="T289" s="90" t="s">
        <v>85</v>
      </c>
      <c r="U289" s="1292"/>
      <c r="V289" s="870">
        <f t="shared" si="30"/>
        <v>0</v>
      </c>
      <c r="W289" s="26"/>
      <c r="X289" s="26"/>
      <c r="Y289" s="26"/>
      <c r="Z289" s="27"/>
      <c r="AA289" s="41"/>
      <c r="AB289" s="42"/>
    </row>
    <row r="290" spans="1:36" s="9" customFormat="1" ht="30" hidden="1">
      <c r="A290" s="944"/>
      <c r="B290" s="922"/>
      <c r="C290" s="58" t="s">
        <v>889</v>
      </c>
      <c r="D290" s="845">
        <v>4</v>
      </c>
      <c r="E290" s="846" t="s">
        <v>68</v>
      </c>
      <c r="F290" s="847">
        <v>0</v>
      </c>
      <c r="G290" s="845">
        <v>17</v>
      </c>
      <c r="H290" s="846" t="s">
        <v>68</v>
      </c>
      <c r="I290" s="847">
        <v>0</v>
      </c>
      <c r="J290" s="46"/>
      <c r="K290" s="47">
        <f>(G290-D290)*20+I290-F290</f>
        <v>260</v>
      </c>
      <c r="L290" s="48"/>
      <c r="M290" s="49"/>
      <c r="N290" s="211"/>
      <c r="O290" s="50"/>
      <c r="P290" s="48"/>
      <c r="Q290" s="209"/>
      <c r="R290" s="168">
        <f>18+28</f>
        <v>46</v>
      </c>
      <c r="S290" s="536" t="s">
        <v>8</v>
      </c>
      <c r="T290" s="90" t="s">
        <v>86</v>
      </c>
      <c r="U290" s="1292"/>
      <c r="V290" s="870">
        <f t="shared" si="30"/>
        <v>0</v>
      </c>
      <c r="W290" s="26"/>
      <c r="X290" s="26"/>
      <c r="Y290" s="26"/>
      <c r="Z290" s="27"/>
      <c r="AA290" s="41"/>
      <c r="AB290" s="42"/>
    </row>
    <row r="291" spans="1:36" s="8" customFormat="1" ht="30" hidden="1">
      <c r="A291" s="516"/>
      <c r="B291" s="922"/>
      <c r="C291" s="58" t="s">
        <v>889</v>
      </c>
      <c r="D291" s="82">
        <v>0</v>
      </c>
      <c r="E291" s="44" t="s">
        <v>68</v>
      </c>
      <c r="F291" s="83">
        <v>0</v>
      </c>
      <c r="G291" s="845">
        <v>4</v>
      </c>
      <c r="H291" s="44" t="s">
        <v>68</v>
      </c>
      <c r="I291" s="847">
        <v>0</v>
      </c>
      <c r="J291" s="46"/>
      <c r="K291" s="47">
        <f>(G291-D291)*20+I291-F291</f>
        <v>80</v>
      </c>
      <c r="L291" s="48"/>
      <c r="M291" s="49"/>
      <c r="N291" s="50"/>
      <c r="O291" s="50"/>
      <c r="P291" s="48"/>
      <c r="Q291" s="53"/>
      <c r="R291" s="887">
        <v>11.77</v>
      </c>
      <c r="S291" s="180" t="s">
        <v>8</v>
      </c>
      <c r="T291" s="90" t="s">
        <v>87</v>
      </c>
      <c r="U291" s="1292"/>
      <c r="V291" s="870">
        <f>V293</f>
        <v>0</v>
      </c>
      <c r="W291" s="938"/>
      <c r="X291" s="938"/>
      <c r="Y291" s="938"/>
      <c r="Z291" s="939"/>
    </row>
    <row r="292" spans="1:36" s="8" customFormat="1" ht="15" hidden="1">
      <c r="A292" s="516"/>
      <c r="B292" s="924"/>
      <c r="C292" s="58"/>
      <c r="D292" s="82"/>
      <c r="E292" s="44"/>
      <c r="F292" s="83"/>
      <c r="G292" s="845"/>
      <c r="H292" s="44"/>
      <c r="I292" s="847"/>
      <c r="J292" s="46"/>
      <c r="K292" s="47"/>
      <c r="L292" s="48"/>
      <c r="M292" s="49"/>
      <c r="N292" s="50"/>
      <c r="O292" s="50"/>
      <c r="P292" s="48"/>
      <c r="Q292" s="53"/>
      <c r="R292" s="887"/>
      <c r="S292" s="209"/>
      <c r="T292" s="888"/>
      <c r="U292" s="1535"/>
      <c r="V292" s="1314"/>
      <c r="W292" s="938"/>
      <c r="X292" s="938"/>
      <c r="Y292" s="938"/>
      <c r="Z292" s="939"/>
    </row>
    <row r="293" spans="1:36" s="515" customFormat="1" ht="15" hidden="1">
      <c r="A293" s="510"/>
      <c r="B293" s="128"/>
      <c r="C293" s="127"/>
      <c r="D293" s="156"/>
      <c r="E293" s="86"/>
      <c r="F293" s="155"/>
      <c r="G293" s="85"/>
      <c r="H293" s="86"/>
      <c r="I293" s="87"/>
      <c r="J293" s="138"/>
      <c r="K293" s="137"/>
      <c r="L293" s="134"/>
      <c r="M293" s="136"/>
      <c r="N293" s="135"/>
      <c r="O293" s="135"/>
      <c r="P293" s="134"/>
      <c r="Q293" s="133"/>
      <c r="R293" s="511"/>
      <c r="S293" s="132"/>
      <c r="T293" s="960"/>
      <c r="U293" s="1127"/>
      <c r="V293" s="870">
        <f t="shared" si="30"/>
        <v>0</v>
      </c>
      <c r="AB293" s="961"/>
    </row>
    <row r="294" spans="1:36" s="8" customFormat="1" ht="15.75" hidden="1">
      <c r="A294" s="516"/>
      <c r="B294" s="877"/>
      <c r="C294" s="113"/>
      <c r="D294" s="2436" t="s">
        <v>18</v>
      </c>
      <c r="E294" s="2437"/>
      <c r="F294" s="2437"/>
      <c r="G294" s="2437"/>
      <c r="H294" s="2437"/>
      <c r="I294" s="2438"/>
      <c r="J294" s="2439">
        <f>VLOOKUP(A296,'12 - FINANCEIRA'!_xlnm.Print_Area,6,FALSE)</f>
        <v>107.77</v>
      </c>
      <c r="K294" s="2440"/>
      <c r="L294" s="519" t="str">
        <f>VLOOKUP(A296,'12 - FINANCEIRA'!_xlnm.Print_Area,4,FALSE)</f>
        <v>m</v>
      </c>
      <c r="M294" s="2441" t="s">
        <v>19</v>
      </c>
      <c r="N294" s="2442"/>
      <c r="O294" s="2442"/>
      <c r="P294" s="2442"/>
      <c r="Q294" s="2443"/>
      <c r="R294" s="878">
        <f>SUM(R289:R293)</f>
        <v>107.77</v>
      </c>
      <c r="S294" s="520" t="str">
        <f>L294</f>
        <v>m</v>
      </c>
      <c r="T294" s="680"/>
      <c r="U294" s="663"/>
      <c r="V294" s="870">
        <f t="shared" si="30"/>
        <v>0</v>
      </c>
      <c r="AB294" s="15"/>
    </row>
    <row r="295" spans="1:36" s="8" customFormat="1" ht="15.75" hidden="1">
      <c r="A295" s="516"/>
      <c r="B295" s="877"/>
      <c r="C295" s="681"/>
      <c r="D295" s="2444" t="s">
        <v>20</v>
      </c>
      <c r="E295" s="2445"/>
      <c r="F295" s="2445"/>
      <c r="G295" s="2445"/>
      <c r="H295" s="2445"/>
      <c r="I295" s="2446"/>
      <c r="J295" s="2450">
        <f>R294/J294</f>
        <v>1</v>
      </c>
      <c r="K295" s="2451"/>
      <c r="L295" s="2454"/>
      <c r="M295" s="2441" t="s">
        <v>21</v>
      </c>
      <c r="N295" s="2442"/>
      <c r="O295" s="2442"/>
      <c r="P295" s="2442"/>
      <c r="Q295" s="2443"/>
      <c r="R295" s="878">
        <f>VLOOKUP(A296,'12 - FINANCEIRA'!_xlnm.Print_Area,8,FALSE)</f>
        <v>107.77</v>
      </c>
      <c r="S295" s="879" t="str">
        <f>L294</f>
        <v>m</v>
      </c>
      <c r="T295" s="680"/>
      <c r="U295" s="663"/>
      <c r="V295" s="870">
        <f t="shared" si="30"/>
        <v>0</v>
      </c>
      <c r="AB295" s="15"/>
    </row>
    <row r="296" spans="1:36" s="8" customFormat="1" ht="15.75" hidden="1">
      <c r="A296" s="516" t="s">
        <v>479</v>
      </c>
      <c r="B296" s="877"/>
      <c r="C296" s="113"/>
      <c r="D296" s="2447"/>
      <c r="E296" s="2448"/>
      <c r="F296" s="2448"/>
      <c r="G296" s="2448"/>
      <c r="H296" s="2448"/>
      <c r="I296" s="2449"/>
      <c r="J296" s="2452"/>
      <c r="K296" s="2453"/>
      <c r="L296" s="2455"/>
      <c r="M296" s="2456" t="s">
        <v>22</v>
      </c>
      <c r="N296" s="2457"/>
      <c r="O296" s="2457"/>
      <c r="P296" s="2457"/>
      <c r="Q296" s="2458"/>
      <c r="R296" s="521">
        <f>R294-R295</f>
        <v>0</v>
      </c>
      <c r="S296" s="522" t="str">
        <f>L294</f>
        <v>m</v>
      </c>
      <c r="T296" s="680"/>
      <c r="U296" s="663"/>
      <c r="V296" s="870">
        <f>R296</f>
        <v>0</v>
      </c>
      <c r="AB296" s="15"/>
    </row>
    <row r="297" spans="1:36" s="8" customFormat="1" ht="15.75" hidden="1">
      <c r="A297" s="516"/>
      <c r="B297" s="523"/>
      <c r="C297" s="524"/>
      <c r="D297" s="526"/>
      <c r="E297" s="526"/>
      <c r="F297" s="526"/>
      <c r="G297" s="525"/>
      <c r="H297" s="525"/>
      <c r="I297" s="525"/>
      <c r="J297" s="527"/>
      <c r="K297" s="528"/>
      <c r="L297" s="529"/>
      <c r="M297" s="530"/>
      <c r="N297" s="530"/>
      <c r="O297" s="530"/>
      <c r="P297" s="530"/>
      <c r="Q297" s="530"/>
      <c r="R297" s="531"/>
      <c r="S297" s="532"/>
      <c r="T297" s="533"/>
      <c r="U297" s="534"/>
      <c r="V297" s="871">
        <f>SUM(V287:V296)</f>
        <v>0</v>
      </c>
      <c r="AB297" s="15"/>
    </row>
    <row r="298" spans="1:36" s="497" customFormat="1" ht="15.75">
      <c r="A298" s="495"/>
      <c r="B298" s="2423" t="str">
        <f>VLOOKUP(A306,'12 - FINANCEIRA'!_xlnm.Print_Area,1,FALSE)</f>
        <v>2.2.3</v>
      </c>
      <c r="C298" s="2421" t="str">
        <f>VLOOKUP(A306,'12 - FINANCEIRA'!_xlnm.Print_Area,3,FALSE)</f>
        <v>Poço de visita - PVI 02 - areia e brita comerciais</v>
      </c>
      <c r="D298" s="2479" t="s">
        <v>97</v>
      </c>
      <c r="E298" s="2480"/>
      <c r="F298" s="2480"/>
      <c r="G298" s="2480"/>
      <c r="H298" s="2480"/>
      <c r="I298" s="2481"/>
      <c r="J298" s="2416" t="s">
        <v>98</v>
      </c>
      <c r="K298" s="2416" t="s">
        <v>102</v>
      </c>
      <c r="L298" s="2416" t="s">
        <v>103</v>
      </c>
      <c r="M298" s="2416" t="s">
        <v>228</v>
      </c>
      <c r="N298" s="2416" t="s">
        <v>229</v>
      </c>
      <c r="O298" s="2416" t="s">
        <v>107</v>
      </c>
      <c r="P298" s="496" t="s">
        <v>153</v>
      </c>
      <c r="Q298" s="2416" t="s">
        <v>16</v>
      </c>
      <c r="R298" s="2425" t="s">
        <v>2</v>
      </c>
      <c r="S298" s="2416" t="s">
        <v>99</v>
      </c>
      <c r="T298" s="2416" t="s">
        <v>17</v>
      </c>
      <c r="U298" s="2428" t="s">
        <v>362</v>
      </c>
      <c r="V298" s="1314">
        <f t="shared" ref="V298:V303" si="31">V299</f>
        <v>1</v>
      </c>
      <c r="W298" s="26"/>
      <c r="X298" s="26"/>
      <c r="Y298" s="26"/>
      <c r="Z298" s="27"/>
      <c r="AA298" s="9"/>
      <c r="AB298" s="9"/>
      <c r="AC298" s="9"/>
      <c r="AD298" s="9"/>
      <c r="AE298" s="9"/>
      <c r="AF298" s="9"/>
      <c r="AG298" s="9"/>
      <c r="AH298" s="9"/>
      <c r="AI298" s="9"/>
      <c r="AJ298" s="9"/>
    </row>
    <row r="299" spans="1:36" s="497" customFormat="1" ht="15.75">
      <c r="A299" s="495"/>
      <c r="B299" s="2471" t="e">
        <f>LEFT(#REF!,5)</f>
        <v>#REF!</v>
      </c>
      <c r="C299" s="2472" t="e">
        <f>VLOOKUP(LEFT(#REF!,5),'12 - FINANCEIRA'!_xlnm.Print_Area,2,FALSE)</f>
        <v>#REF!</v>
      </c>
      <c r="D299" s="2430" t="s">
        <v>14</v>
      </c>
      <c r="E299" s="2431"/>
      <c r="F299" s="2432"/>
      <c r="G299" s="2433" t="s">
        <v>15</v>
      </c>
      <c r="H299" s="2434"/>
      <c r="I299" s="2435"/>
      <c r="J299" s="2427"/>
      <c r="K299" s="2427"/>
      <c r="L299" s="2427"/>
      <c r="M299" s="2427"/>
      <c r="N299" s="2427"/>
      <c r="O299" s="2427"/>
      <c r="P299" s="498" t="s">
        <v>104</v>
      </c>
      <c r="Q299" s="2427"/>
      <c r="R299" s="2426"/>
      <c r="S299" s="2427"/>
      <c r="T299" s="2427"/>
      <c r="U299" s="2429"/>
      <c r="V299" s="1314">
        <f t="shared" si="31"/>
        <v>1</v>
      </c>
      <c r="W299" s="26"/>
      <c r="X299" s="26"/>
      <c r="Y299" s="26"/>
      <c r="Z299" s="27"/>
      <c r="AA299" s="9"/>
      <c r="AB299" s="9"/>
      <c r="AC299" s="9"/>
      <c r="AD299" s="9"/>
      <c r="AE299" s="9"/>
      <c r="AF299" s="9"/>
      <c r="AG299" s="9"/>
      <c r="AH299" s="9"/>
      <c r="AI299" s="9"/>
      <c r="AJ299" s="9"/>
    </row>
    <row r="300" spans="1:36" s="9" customFormat="1" ht="15">
      <c r="A300" s="944"/>
      <c r="B300" s="922"/>
      <c r="C300" s="30" t="s">
        <v>1059</v>
      </c>
      <c r="D300" s="845">
        <v>8</v>
      </c>
      <c r="E300" s="846" t="s">
        <v>68</v>
      </c>
      <c r="F300" s="847">
        <v>14</v>
      </c>
      <c r="G300" s="845"/>
      <c r="H300" s="846"/>
      <c r="I300" s="847"/>
      <c r="J300" s="34"/>
      <c r="K300" s="84"/>
      <c r="L300" s="35"/>
      <c r="M300" s="36"/>
      <c r="N300" s="889"/>
      <c r="O300" s="81"/>
      <c r="P300" s="35"/>
      <c r="Q300" s="882"/>
      <c r="R300" s="842">
        <v>1</v>
      </c>
      <c r="S300" s="855" t="s">
        <v>101</v>
      </c>
      <c r="T300" s="857" t="s">
        <v>85</v>
      </c>
      <c r="U300" s="1135"/>
      <c r="V300" s="1314">
        <f t="shared" si="31"/>
        <v>1</v>
      </c>
      <c r="W300" s="26"/>
      <c r="X300" s="26"/>
      <c r="Y300" s="26"/>
      <c r="Z300" s="27"/>
      <c r="AA300" s="41"/>
      <c r="AB300" s="42"/>
    </row>
    <row r="301" spans="1:36" s="9" customFormat="1" ht="15">
      <c r="A301" s="944"/>
      <c r="B301" s="922"/>
      <c r="C301" s="58" t="s">
        <v>1059</v>
      </c>
      <c r="D301" s="31">
        <v>4</v>
      </c>
      <c r="E301" s="32" t="s">
        <v>68</v>
      </c>
      <c r="F301" s="33">
        <v>0</v>
      </c>
      <c r="G301" s="845"/>
      <c r="H301" s="846"/>
      <c r="I301" s="847"/>
      <c r="J301" s="46"/>
      <c r="K301" s="47"/>
      <c r="L301" s="48"/>
      <c r="M301" s="49"/>
      <c r="N301" s="211"/>
      <c r="O301" s="50"/>
      <c r="P301" s="48"/>
      <c r="Q301" s="209"/>
      <c r="R301" s="168">
        <v>1</v>
      </c>
      <c r="S301" s="536" t="s">
        <v>101</v>
      </c>
      <c r="T301" s="90" t="s">
        <v>86</v>
      </c>
      <c r="U301" s="39"/>
      <c r="V301" s="1314">
        <f t="shared" si="31"/>
        <v>1</v>
      </c>
      <c r="W301" s="26"/>
      <c r="X301" s="26"/>
      <c r="Y301" s="26"/>
      <c r="Z301" s="27"/>
      <c r="AA301" s="41"/>
      <c r="AB301" s="42"/>
    </row>
    <row r="302" spans="1:36" s="9" customFormat="1" ht="15">
      <c r="A302" s="944"/>
      <c r="B302" s="924"/>
      <c r="C302" s="58" t="s">
        <v>1059</v>
      </c>
      <c r="D302" s="82">
        <v>17</v>
      </c>
      <c r="E302" s="44" t="s">
        <v>68</v>
      </c>
      <c r="F302" s="83">
        <v>0</v>
      </c>
      <c r="G302" s="43"/>
      <c r="H302" s="44"/>
      <c r="I302" s="45"/>
      <c r="J302" s="46"/>
      <c r="K302" s="47"/>
      <c r="L302" s="48"/>
      <c r="M302" s="49"/>
      <c r="N302" s="50"/>
      <c r="O302" s="50"/>
      <c r="P302" s="48"/>
      <c r="Q302" s="53"/>
      <c r="R302" s="168">
        <v>1</v>
      </c>
      <c r="S302" s="54" t="s">
        <v>101</v>
      </c>
      <c r="T302" s="90" t="s">
        <v>88</v>
      </c>
      <c r="U302" s="1534"/>
      <c r="V302" s="1314">
        <f t="shared" si="31"/>
        <v>1</v>
      </c>
      <c r="W302" s="26"/>
      <c r="X302" s="26"/>
      <c r="Y302" s="26"/>
      <c r="Z302" s="27"/>
      <c r="AA302" s="41"/>
      <c r="AB302" s="42"/>
    </row>
    <row r="303" spans="1:36" s="9" customFormat="1" ht="15">
      <c r="A303" s="944"/>
      <c r="B303" s="925"/>
      <c r="C303" s="967" t="s">
        <v>485</v>
      </c>
      <c r="D303" s="1096">
        <v>0</v>
      </c>
      <c r="E303" s="1097" t="s">
        <v>68</v>
      </c>
      <c r="F303" s="1098">
        <v>2</v>
      </c>
      <c r="G303" s="1099"/>
      <c r="H303" s="1097"/>
      <c r="I303" s="1100"/>
      <c r="J303" s="1101"/>
      <c r="K303" s="1102"/>
      <c r="L303" s="978"/>
      <c r="M303" s="1103"/>
      <c r="N303" s="979"/>
      <c r="O303" s="979"/>
      <c r="P303" s="978"/>
      <c r="Q303" s="1113"/>
      <c r="R303" s="980">
        <v>1</v>
      </c>
      <c r="S303" s="1114" t="s">
        <v>101</v>
      </c>
      <c r="T303" s="1027" t="s">
        <v>90</v>
      </c>
      <c r="U303" s="71"/>
      <c r="V303" s="1314">
        <f t="shared" si="31"/>
        <v>1</v>
      </c>
      <c r="W303" s="26"/>
      <c r="X303" s="26"/>
      <c r="Y303" s="26"/>
      <c r="Z303" s="27"/>
      <c r="AA303" s="41"/>
      <c r="AB303" s="42"/>
    </row>
    <row r="304" spans="1:36" s="8" customFormat="1" ht="15.75">
      <c r="A304" s="516"/>
      <c r="B304" s="877"/>
      <c r="C304" s="113"/>
      <c r="D304" s="2459" t="s">
        <v>18</v>
      </c>
      <c r="E304" s="2460"/>
      <c r="F304" s="2460"/>
      <c r="G304" s="2460"/>
      <c r="H304" s="2460"/>
      <c r="I304" s="2461"/>
      <c r="J304" s="2462">
        <f>VLOOKUP(A306,'12 - FINANCEIRA'!_xlnm.Print_Area,6,FALSE)</f>
        <v>4</v>
      </c>
      <c r="K304" s="2463"/>
      <c r="L304" s="1744" t="str">
        <f>VLOOKUP(A306,'12 - FINANCEIRA'!_xlnm.Print_Area,4,FALSE)</f>
        <v>und</v>
      </c>
      <c r="M304" s="2464" t="s">
        <v>19</v>
      </c>
      <c r="N304" s="2465"/>
      <c r="O304" s="2465"/>
      <c r="P304" s="2465"/>
      <c r="Q304" s="2466"/>
      <c r="R304" s="1154">
        <f>SUM(R300:R303)</f>
        <v>4</v>
      </c>
      <c r="S304" s="1745" t="str">
        <f>L304</f>
        <v>und</v>
      </c>
      <c r="T304" s="680"/>
      <c r="U304" s="663"/>
      <c r="V304" s="1314">
        <f t="shared" ref="V304:V305" si="32">V305</f>
        <v>1</v>
      </c>
      <c r="AB304" s="15"/>
    </row>
    <row r="305" spans="1:36" s="8" customFormat="1" ht="15.75">
      <c r="A305" s="516"/>
      <c r="B305" s="877"/>
      <c r="C305" s="681"/>
      <c r="D305" s="2444" t="s">
        <v>20</v>
      </c>
      <c r="E305" s="2445"/>
      <c r="F305" s="2445"/>
      <c r="G305" s="2445"/>
      <c r="H305" s="2445"/>
      <c r="I305" s="2446"/>
      <c r="J305" s="2450">
        <f>R304/J304</f>
        <v>1</v>
      </c>
      <c r="K305" s="2451"/>
      <c r="L305" s="2454"/>
      <c r="M305" s="2441" t="s">
        <v>21</v>
      </c>
      <c r="N305" s="2442"/>
      <c r="O305" s="2442"/>
      <c r="P305" s="2442"/>
      <c r="Q305" s="2443"/>
      <c r="R305" s="878">
        <f>VLOOKUP(A306,'12 - FINANCEIRA'!_xlnm.Print_Area,8,FALSE)</f>
        <v>3</v>
      </c>
      <c r="S305" s="879" t="str">
        <f>L304</f>
        <v>und</v>
      </c>
      <c r="T305" s="680"/>
      <c r="U305" s="663"/>
      <c r="V305" s="1314">
        <f t="shared" si="32"/>
        <v>1</v>
      </c>
      <c r="AB305" s="15"/>
    </row>
    <row r="306" spans="1:36" s="8" customFormat="1" ht="15.75">
      <c r="A306" s="516" t="s">
        <v>480</v>
      </c>
      <c r="B306" s="877"/>
      <c r="C306" s="113"/>
      <c r="D306" s="2447"/>
      <c r="E306" s="2448"/>
      <c r="F306" s="2448"/>
      <c r="G306" s="2448"/>
      <c r="H306" s="2448"/>
      <c r="I306" s="2449"/>
      <c r="J306" s="2452"/>
      <c r="K306" s="2453"/>
      <c r="L306" s="2455"/>
      <c r="M306" s="2456" t="s">
        <v>22</v>
      </c>
      <c r="N306" s="2457"/>
      <c r="O306" s="2457"/>
      <c r="P306" s="2457"/>
      <c r="Q306" s="2458"/>
      <c r="R306" s="521">
        <f>R304-R305</f>
        <v>1</v>
      </c>
      <c r="S306" s="522" t="str">
        <f>L304</f>
        <v>und</v>
      </c>
      <c r="T306" s="680"/>
      <c r="U306" s="663"/>
      <c r="V306" s="1314">
        <f>R306</f>
        <v>1</v>
      </c>
      <c r="AB306" s="15"/>
    </row>
    <row r="307" spans="1:36" s="8" customFormat="1" ht="15.75">
      <c r="A307" s="516"/>
      <c r="B307" s="523"/>
      <c r="C307" s="524"/>
      <c r="D307" s="526"/>
      <c r="E307" s="526"/>
      <c r="F307" s="526"/>
      <c r="G307" s="525"/>
      <c r="H307" s="525"/>
      <c r="I307" s="525"/>
      <c r="J307" s="527"/>
      <c r="K307" s="528"/>
      <c r="L307" s="529"/>
      <c r="M307" s="530"/>
      <c r="N307" s="530"/>
      <c r="O307" s="530"/>
      <c r="P307" s="530"/>
      <c r="Q307" s="530"/>
      <c r="R307" s="531"/>
      <c r="S307" s="532"/>
      <c r="T307" s="533"/>
      <c r="U307" s="534"/>
      <c r="V307" s="1658">
        <f>SUM(V298:V306)</f>
        <v>9</v>
      </c>
      <c r="AB307" s="15"/>
    </row>
    <row r="308" spans="1:36" s="497" customFormat="1" ht="15.75" hidden="1">
      <c r="A308" s="495"/>
      <c r="B308" s="2423" t="str">
        <f>VLOOKUP(A316,'12 - FINANCEIRA'!_xlnm.Print_Area,1,FALSE)</f>
        <v>2.2.4</v>
      </c>
      <c r="C308" s="2421" t="str">
        <f>VLOOKUP(A316,'12 - FINANCEIRA'!_xlnm.Print_Area,3,FALSE)</f>
        <v>Corpo de BSTC D = 0,50 m CA2 - areia, brita e pedra de mão comerciais</v>
      </c>
      <c r="D308" s="2479" t="s">
        <v>97</v>
      </c>
      <c r="E308" s="2480"/>
      <c r="F308" s="2480"/>
      <c r="G308" s="2480"/>
      <c r="H308" s="2480"/>
      <c r="I308" s="2481"/>
      <c r="J308" s="2416" t="s">
        <v>98</v>
      </c>
      <c r="K308" s="2416" t="s">
        <v>102</v>
      </c>
      <c r="L308" s="2416" t="s">
        <v>103</v>
      </c>
      <c r="M308" s="2416" t="s">
        <v>228</v>
      </c>
      <c r="N308" s="2416" t="s">
        <v>229</v>
      </c>
      <c r="O308" s="2416" t="s">
        <v>107</v>
      </c>
      <c r="P308" s="496" t="s">
        <v>153</v>
      </c>
      <c r="Q308" s="2416" t="s">
        <v>16</v>
      </c>
      <c r="R308" s="2425" t="s">
        <v>2</v>
      </c>
      <c r="S308" s="2416" t="s">
        <v>99</v>
      </c>
      <c r="T308" s="2416" t="s">
        <v>17</v>
      </c>
      <c r="U308" s="2428" t="s">
        <v>362</v>
      </c>
      <c r="V308" s="870">
        <f t="shared" ref="V308:V315" si="33">V309</f>
        <v>0</v>
      </c>
      <c r="W308" s="26"/>
      <c r="X308" s="26"/>
      <c r="Y308" s="26"/>
      <c r="Z308" s="27"/>
      <c r="AA308" s="9"/>
      <c r="AB308" s="9"/>
      <c r="AC308" s="9"/>
      <c r="AD308" s="9"/>
      <c r="AE308" s="9"/>
      <c r="AF308" s="9"/>
      <c r="AG308" s="9"/>
      <c r="AH308" s="9"/>
      <c r="AI308" s="9"/>
      <c r="AJ308" s="9"/>
    </row>
    <row r="309" spans="1:36" s="497" customFormat="1" ht="15.75" hidden="1">
      <c r="A309" s="495"/>
      <c r="B309" s="2471" t="e">
        <f>LEFT(#REF!,5)</f>
        <v>#REF!</v>
      </c>
      <c r="C309" s="2472" t="e">
        <f>VLOOKUP(LEFT(#REF!,5),'12 - FINANCEIRA'!_xlnm.Print_Area,2,FALSE)</f>
        <v>#REF!</v>
      </c>
      <c r="D309" s="2430" t="s">
        <v>14</v>
      </c>
      <c r="E309" s="2431"/>
      <c r="F309" s="2432"/>
      <c r="G309" s="2433" t="s">
        <v>15</v>
      </c>
      <c r="H309" s="2434"/>
      <c r="I309" s="2435"/>
      <c r="J309" s="2427"/>
      <c r="K309" s="2427"/>
      <c r="L309" s="2427"/>
      <c r="M309" s="2427"/>
      <c r="N309" s="2427"/>
      <c r="O309" s="2427"/>
      <c r="P309" s="498" t="s">
        <v>104</v>
      </c>
      <c r="Q309" s="2427"/>
      <c r="R309" s="2426"/>
      <c r="S309" s="2427"/>
      <c r="T309" s="2427"/>
      <c r="U309" s="2429"/>
      <c r="V309" s="870">
        <f t="shared" si="33"/>
        <v>0</v>
      </c>
      <c r="W309" s="26"/>
      <c r="X309" s="26"/>
      <c r="Y309" s="26"/>
      <c r="Z309" s="27"/>
      <c r="AA309" s="9"/>
      <c r="AB309" s="9"/>
      <c r="AC309" s="9"/>
      <c r="AD309" s="9"/>
      <c r="AE309" s="9"/>
      <c r="AF309" s="9"/>
      <c r="AG309" s="9"/>
      <c r="AH309" s="9"/>
      <c r="AI309" s="9"/>
      <c r="AJ309" s="9"/>
    </row>
    <row r="310" spans="1:36" s="9" customFormat="1" ht="15" hidden="1">
      <c r="A310" s="944"/>
      <c r="B310" s="922"/>
      <c r="C310" s="58"/>
      <c r="D310" s="82"/>
      <c r="E310" s="44"/>
      <c r="F310" s="83"/>
      <c r="G310" s="43"/>
      <c r="H310" s="44"/>
      <c r="I310" s="45"/>
      <c r="J310" s="46"/>
      <c r="K310" s="47"/>
      <c r="L310" s="48"/>
      <c r="M310" s="49"/>
      <c r="N310" s="211"/>
      <c r="O310" s="50"/>
      <c r="P310" s="48"/>
      <c r="Q310" s="209"/>
      <c r="R310" s="535"/>
      <c r="S310" s="876"/>
      <c r="T310" s="90"/>
      <c r="U310" s="39"/>
      <c r="V310" s="870">
        <f t="shared" si="33"/>
        <v>0</v>
      </c>
      <c r="W310" s="26"/>
      <c r="X310" s="26"/>
      <c r="Y310" s="26"/>
      <c r="Z310" s="27"/>
      <c r="AA310" s="41"/>
      <c r="AB310" s="42"/>
    </row>
    <row r="311" spans="1:36" s="9" customFormat="1" ht="15" hidden="1">
      <c r="A311" s="944"/>
      <c r="B311" s="922"/>
      <c r="C311" s="58"/>
      <c r="D311" s="82"/>
      <c r="E311" s="44"/>
      <c r="F311" s="83"/>
      <c r="G311" s="43"/>
      <c r="H311" s="44"/>
      <c r="I311" s="45"/>
      <c r="J311" s="46"/>
      <c r="K311" s="47"/>
      <c r="L311" s="48"/>
      <c r="M311" s="49"/>
      <c r="N311" s="211"/>
      <c r="O311" s="50"/>
      <c r="P311" s="48"/>
      <c r="Q311" s="209"/>
      <c r="R311" s="168"/>
      <c r="S311" s="536"/>
      <c r="T311" s="90"/>
      <c r="U311" s="39"/>
      <c r="V311" s="870">
        <f t="shared" si="33"/>
        <v>0</v>
      </c>
      <c r="W311" s="26"/>
      <c r="X311" s="26"/>
      <c r="Y311" s="26"/>
      <c r="Z311" s="27"/>
      <c r="AA311" s="41"/>
      <c r="AB311" s="42"/>
    </row>
    <row r="312" spans="1:36" s="8" customFormat="1" ht="15" hidden="1">
      <c r="A312" s="516"/>
      <c r="B312" s="922"/>
      <c r="C312" s="58"/>
      <c r="D312" s="82"/>
      <c r="E312" s="44"/>
      <c r="F312" s="83"/>
      <c r="G312" s="43"/>
      <c r="H312" s="44"/>
      <c r="I312" s="45"/>
      <c r="J312" s="46"/>
      <c r="K312" s="47"/>
      <c r="L312" s="48"/>
      <c r="M312" s="49"/>
      <c r="N312" s="50"/>
      <c r="O312" s="50"/>
      <c r="P312" s="48"/>
      <c r="Q312" s="53"/>
      <c r="R312" s="887"/>
      <c r="S312" s="180"/>
      <c r="T312" s="90"/>
      <c r="U312" s="39"/>
      <c r="V312" s="870">
        <f t="shared" si="33"/>
        <v>0</v>
      </c>
      <c r="W312" s="938"/>
      <c r="X312" s="938"/>
      <c r="Y312" s="938"/>
      <c r="Z312" s="939"/>
    </row>
    <row r="313" spans="1:36" s="8" customFormat="1" ht="15" hidden="1">
      <c r="A313" s="516"/>
      <c r="B313" s="59"/>
      <c r="C313" s="60"/>
      <c r="D313" s="82"/>
      <c r="E313" s="44"/>
      <c r="F313" s="83"/>
      <c r="G313" s="43"/>
      <c r="H313" s="44"/>
      <c r="I313" s="45"/>
      <c r="J313" s="46"/>
      <c r="K313" s="47"/>
      <c r="L313" s="48"/>
      <c r="M313" s="49"/>
      <c r="N313" s="50"/>
      <c r="O313" s="50"/>
      <c r="P313" s="48"/>
      <c r="Q313" s="53"/>
      <c r="R313" s="517"/>
      <c r="S313" s="54"/>
      <c r="T313" s="518"/>
      <c r="U313" s="71"/>
      <c r="V313" s="870">
        <f t="shared" si="33"/>
        <v>0</v>
      </c>
      <c r="AB313" s="15"/>
    </row>
    <row r="314" spans="1:36" s="8" customFormat="1" ht="15.75" hidden="1">
      <c r="A314" s="516"/>
      <c r="B314" s="877"/>
      <c r="C314" s="113"/>
      <c r="D314" s="2436" t="s">
        <v>18</v>
      </c>
      <c r="E314" s="2437"/>
      <c r="F314" s="2437"/>
      <c r="G314" s="2437"/>
      <c r="H314" s="2437"/>
      <c r="I314" s="2438"/>
      <c r="J314" s="2439">
        <f>VLOOKUP(A316,'12 - FINANCEIRA'!_xlnm.Print_Area,6,FALSE)</f>
        <v>5</v>
      </c>
      <c r="K314" s="2440"/>
      <c r="L314" s="519" t="str">
        <f>VLOOKUP(A316,'12 - FINANCEIRA'!_xlnm.Print_Area,4,FALSE)</f>
        <v>m</v>
      </c>
      <c r="M314" s="2441" t="s">
        <v>19</v>
      </c>
      <c r="N314" s="2442"/>
      <c r="O314" s="2442"/>
      <c r="P314" s="2442"/>
      <c r="Q314" s="2443"/>
      <c r="R314" s="878">
        <f>SUM(R310:R313)</f>
        <v>0</v>
      </c>
      <c r="S314" s="520" t="str">
        <f>L314</f>
        <v>m</v>
      </c>
      <c r="T314" s="680"/>
      <c r="U314" s="663"/>
      <c r="V314" s="870">
        <f t="shared" si="33"/>
        <v>0</v>
      </c>
      <c r="AB314" s="15"/>
    </row>
    <row r="315" spans="1:36" s="8" customFormat="1" ht="15.75" hidden="1">
      <c r="A315" s="516"/>
      <c r="B315" s="877"/>
      <c r="C315" s="681"/>
      <c r="D315" s="2444" t="s">
        <v>20</v>
      </c>
      <c r="E315" s="2445"/>
      <c r="F315" s="2445"/>
      <c r="G315" s="2445"/>
      <c r="H315" s="2445"/>
      <c r="I315" s="2446"/>
      <c r="J315" s="2450">
        <f>R314/J314</f>
        <v>0</v>
      </c>
      <c r="K315" s="2451"/>
      <c r="L315" s="2454"/>
      <c r="M315" s="2441" t="s">
        <v>21</v>
      </c>
      <c r="N315" s="2442"/>
      <c r="O315" s="2442"/>
      <c r="P315" s="2442"/>
      <c r="Q315" s="2443"/>
      <c r="R315" s="878">
        <f>VLOOKUP(A316,'12 - FINANCEIRA'!_xlnm.Print_Area,8,FALSE)</f>
        <v>0</v>
      </c>
      <c r="S315" s="879" t="str">
        <f>L314</f>
        <v>m</v>
      </c>
      <c r="T315" s="680"/>
      <c r="U315" s="663"/>
      <c r="V315" s="870">
        <f t="shared" si="33"/>
        <v>0</v>
      </c>
      <c r="AB315" s="15"/>
    </row>
    <row r="316" spans="1:36" s="8" customFormat="1" ht="15.75" hidden="1">
      <c r="A316" s="516" t="s">
        <v>481</v>
      </c>
      <c r="B316" s="877"/>
      <c r="C316" s="113"/>
      <c r="D316" s="2447"/>
      <c r="E316" s="2448"/>
      <c r="F316" s="2448"/>
      <c r="G316" s="2448"/>
      <c r="H316" s="2448"/>
      <c r="I316" s="2449"/>
      <c r="J316" s="2452"/>
      <c r="K316" s="2453"/>
      <c r="L316" s="2455"/>
      <c r="M316" s="2456" t="s">
        <v>22</v>
      </c>
      <c r="N316" s="2457"/>
      <c r="O316" s="2457"/>
      <c r="P316" s="2457"/>
      <c r="Q316" s="2458"/>
      <c r="R316" s="521">
        <f>R314-R315</f>
        <v>0</v>
      </c>
      <c r="S316" s="522" t="str">
        <f>L314</f>
        <v>m</v>
      </c>
      <c r="T316" s="680"/>
      <c r="U316" s="663"/>
      <c r="V316" s="870">
        <f>R316</f>
        <v>0</v>
      </c>
      <c r="AB316" s="15"/>
    </row>
    <row r="317" spans="1:36" s="8" customFormat="1" ht="15.75" hidden="1">
      <c r="A317" s="516"/>
      <c r="B317" s="523"/>
      <c r="C317" s="524"/>
      <c r="D317" s="526"/>
      <c r="E317" s="526"/>
      <c r="F317" s="526"/>
      <c r="G317" s="525"/>
      <c r="H317" s="525"/>
      <c r="I317" s="525"/>
      <c r="J317" s="527"/>
      <c r="K317" s="528"/>
      <c r="L317" s="529"/>
      <c r="M317" s="530"/>
      <c r="N317" s="530"/>
      <c r="O317" s="530"/>
      <c r="P317" s="530"/>
      <c r="Q317" s="530"/>
      <c r="R317" s="531"/>
      <c r="S317" s="532"/>
      <c r="T317" s="533"/>
      <c r="U317" s="534"/>
      <c r="V317" s="871">
        <f>SUM(V308:V316)</f>
        <v>0</v>
      </c>
      <c r="AB317" s="15"/>
    </row>
    <row r="318" spans="1:36" s="497" customFormat="1" ht="15.75" hidden="1">
      <c r="A318" s="495"/>
      <c r="B318" s="2423" t="str">
        <f>VLOOKUP(A326,'12 - FINANCEIRA'!_xlnm.Print_Area,1,FALSE)</f>
        <v>2.2.5</v>
      </c>
      <c r="C318" s="2421" t="str">
        <f>VLOOKUP(A326,'12 - FINANCEIRA'!_xlnm.Print_Area,3,FALSE)</f>
        <v>Corpo de BSTC D = 0,60 m CA2 - areia extraída e brita e pedra de mão produzidas</v>
      </c>
      <c r="D318" s="2479" t="s">
        <v>97</v>
      </c>
      <c r="E318" s="2480"/>
      <c r="F318" s="2480"/>
      <c r="G318" s="2480"/>
      <c r="H318" s="2480"/>
      <c r="I318" s="2481"/>
      <c r="J318" s="2416" t="s">
        <v>98</v>
      </c>
      <c r="K318" s="2416" t="s">
        <v>102</v>
      </c>
      <c r="L318" s="2416" t="s">
        <v>103</v>
      </c>
      <c r="M318" s="2416" t="s">
        <v>228</v>
      </c>
      <c r="N318" s="2416" t="s">
        <v>229</v>
      </c>
      <c r="O318" s="2416" t="s">
        <v>107</v>
      </c>
      <c r="P318" s="496" t="s">
        <v>153</v>
      </c>
      <c r="Q318" s="2416" t="s">
        <v>16</v>
      </c>
      <c r="R318" s="2425" t="s">
        <v>2</v>
      </c>
      <c r="S318" s="2416" t="s">
        <v>99</v>
      </c>
      <c r="T318" s="2416" t="s">
        <v>17</v>
      </c>
      <c r="U318" s="2428" t="s">
        <v>362</v>
      </c>
      <c r="V318" s="870">
        <f t="shared" ref="V318:V320" si="34">V319</f>
        <v>0</v>
      </c>
      <c r="W318" s="26"/>
      <c r="X318" s="26"/>
      <c r="Y318" s="26"/>
      <c r="Z318" s="27"/>
      <c r="AA318" s="9"/>
      <c r="AB318" s="9"/>
      <c r="AC318" s="9"/>
      <c r="AD318" s="9"/>
      <c r="AE318" s="9"/>
      <c r="AF318" s="9"/>
      <c r="AG318" s="9"/>
      <c r="AH318" s="9"/>
      <c r="AI318" s="9"/>
      <c r="AJ318" s="9"/>
    </row>
    <row r="319" spans="1:36" s="497" customFormat="1" ht="15.75" hidden="1">
      <c r="A319" s="495"/>
      <c r="B319" s="2471" t="e">
        <f>LEFT(#REF!,5)</f>
        <v>#REF!</v>
      </c>
      <c r="C319" s="2472" t="e">
        <f>VLOOKUP(LEFT(#REF!,5),'12 - FINANCEIRA'!_xlnm.Print_Area,2,FALSE)</f>
        <v>#REF!</v>
      </c>
      <c r="D319" s="2430" t="s">
        <v>14</v>
      </c>
      <c r="E319" s="2431"/>
      <c r="F319" s="2432"/>
      <c r="G319" s="2433" t="s">
        <v>15</v>
      </c>
      <c r="H319" s="2434"/>
      <c r="I319" s="2435"/>
      <c r="J319" s="2427"/>
      <c r="K319" s="2427"/>
      <c r="L319" s="2427"/>
      <c r="M319" s="2427"/>
      <c r="N319" s="2427"/>
      <c r="O319" s="2427"/>
      <c r="P319" s="498" t="s">
        <v>104</v>
      </c>
      <c r="Q319" s="2427"/>
      <c r="R319" s="2426"/>
      <c r="S319" s="2427"/>
      <c r="T319" s="2427"/>
      <c r="U319" s="2429"/>
      <c r="V319" s="870">
        <f t="shared" si="34"/>
        <v>0</v>
      </c>
      <c r="W319" s="26"/>
      <c r="X319" s="26"/>
      <c r="Y319" s="26"/>
      <c r="Z319" s="27"/>
      <c r="AA319" s="9"/>
      <c r="AB319" s="9"/>
      <c r="AC319" s="9"/>
      <c r="AD319" s="9"/>
      <c r="AE319" s="9"/>
      <c r="AF319" s="9"/>
      <c r="AG319" s="9"/>
      <c r="AH319" s="9"/>
      <c r="AI319" s="9"/>
      <c r="AJ319" s="9"/>
    </row>
    <row r="320" spans="1:36" s="8" customFormat="1" ht="15" hidden="1">
      <c r="A320" s="516"/>
      <c r="B320" s="933"/>
      <c r="C320" s="858"/>
      <c r="D320" s="859"/>
      <c r="E320" s="860"/>
      <c r="F320" s="861"/>
      <c r="G320" s="914"/>
      <c r="H320" s="860"/>
      <c r="I320" s="915"/>
      <c r="J320" s="862"/>
      <c r="K320" s="863"/>
      <c r="L320" s="864"/>
      <c r="M320" s="865"/>
      <c r="N320" s="866"/>
      <c r="O320" s="934"/>
      <c r="P320" s="864"/>
      <c r="Q320" s="867"/>
      <c r="R320" s="856"/>
      <c r="S320" s="935"/>
      <c r="T320" s="936"/>
      <c r="U320" s="1172"/>
      <c r="V320" s="870">
        <f t="shared" si="34"/>
        <v>0</v>
      </c>
      <c r="W320" s="938"/>
      <c r="X320" s="938"/>
      <c r="Y320" s="938"/>
      <c r="Z320" s="939"/>
      <c r="AA320" s="938"/>
      <c r="AB320" s="15"/>
    </row>
    <row r="321" spans="1:36" s="8" customFormat="1" ht="15" hidden="1">
      <c r="A321" s="516"/>
      <c r="B321" s="937"/>
      <c r="C321" s="30"/>
      <c r="D321" s="31"/>
      <c r="E321" s="32"/>
      <c r="F321" s="33"/>
      <c r="G321" s="894"/>
      <c r="H321" s="32"/>
      <c r="I321" s="895"/>
      <c r="J321" s="34"/>
      <c r="K321" s="84"/>
      <c r="L321" s="35"/>
      <c r="M321" s="36"/>
      <c r="N321" s="889"/>
      <c r="O321" s="81"/>
      <c r="P321" s="35"/>
      <c r="Q321" s="882"/>
      <c r="R321" s="883"/>
      <c r="S321" s="884"/>
      <c r="T321" s="857"/>
      <c r="U321" s="78"/>
      <c r="V321" s="870">
        <f>V322</f>
        <v>0</v>
      </c>
      <c r="W321" s="938"/>
      <c r="X321" s="938"/>
      <c r="Y321" s="938"/>
      <c r="Z321" s="939"/>
    </row>
    <row r="322" spans="1:36" s="515" customFormat="1" ht="15" hidden="1" customHeight="1">
      <c r="A322" s="510"/>
      <c r="B322" s="1026"/>
      <c r="C322" s="844"/>
      <c r="D322" s="845"/>
      <c r="E322" s="846"/>
      <c r="F322" s="847"/>
      <c r="G322" s="951"/>
      <c r="H322" s="846"/>
      <c r="I322" s="952"/>
      <c r="J322" s="848"/>
      <c r="K322" s="1033"/>
      <c r="L322" s="850"/>
      <c r="M322" s="851"/>
      <c r="N322" s="852"/>
      <c r="O322" s="1034"/>
      <c r="P322" s="850"/>
      <c r="Q322" s="854"/>
      <c r="R322" s="849"/>
      <c r="S322" s="1035"/>
      <c r="T322" s="843"/>
      <c r="U322" s="78"/>
      <c r="V322" s="870">
        <f>V323</f>
        <v>0</v>
      </c>
      <c r="W322" s="938"/>
      <c r="X322" s="938"/>
      <c r="Y322" s="513"/>
      <c r="Z322" s="514"/>
    </row>
    <row r="323" spans="1:36" s="515" customFormat="1" ht="15" hidden="1" customHeight="1">
      <c r="A323" s="510"/>
      <c r="B323" s="1042"/>
      <c r="C323" s="896"/>
      <c r="D323" s="926"/>
      <c r="E323" s="898"/>
      <c r="F323" s="927"/>
      <c r="G323" s="897"/>
      <c r="H323" s="898"/>
      <c r="I323" s="899"/>
      <c r="J323" s="913"/>
      <c r="K323" s="1087"/>
      <c r="L323" s="945"/>
      <c r="M323" s="946"/>
      <c r="N323" s="947"/>
      <c r="O323" s="953"/>
      <c r="P323" s="945"/>
      <c r="Q323" s="1046"/>
      <c r="R323" s="948"/>
      <c r="S323" s="949"/>
      <c r="T323" s="950"/>
      <c r="U323" s="78"/>
      <c r="V323" s="870">
        <f>V324</f>
        <v>0</v>
      </c>
      <c r="W323" s="938"/>
      <c r="X323" s="938"/>
      <c r="Y323" s="513"/>
      <c r="Z323" s="514"/>
    </row>
    <row r="324" spans="1:36" s="8" customFormat="1" ht="15.75" hidden="1">
      <c r="A324" s="516"/>
      <c r="B324" s="923"/>
      <c r="C324" s="891"/>
      <c r="D324" s="2495" t="s">
        <v>18</v>
      </c>
      <c r="E324" s="2496"/>
      <c r="F324" s="2496"/>
      <c r="G324" s="2496"/>
      <c r="H324" s="2496"/>
      <c r="I324" s="2497"/>
      <c r="J324" s="2498">
        <f>VLOOKUP(A326,'12 - FINANCEIRA'!_xlnm.Print_Area,6,FALSE)</f>
        <v>23</v>
      </c>
      <c r="K324" s="2499"/>
      <c r="L324" s="940" t="str">
        <f>VLOOKUP(A326,'12 - FINANCEIRA'!_xlnm.Print_Area,4,FALSE)</f>
        <v>m</v>
      </c>
      <c r="M324" s="2500" t="s">
        <v>19</v>
      </c>
      <c r="N324" s="2501"/>
      <c r="O324" s="2501"/>
      <c r="P324" s="2501"/>
      <c r="Q324" s="2502"/>
      <c r="R324" s="878">
        <f>SUM(R320:R323)</f>
        <v>0</v>
      </c>
      <c r="S324" s="941" t="str">
        <f>L324</f>
        <v>m</v>
      </c>
      <c r="T324" s="661"/>
      <c r="U324" s="662"/>
      <c r="V324" s="870">
        <f t="shared" ref="V324:V325" si="35">V325</f>
        <v>0</v>
      </c>
      <c r="AB324" s="15"/>
    </row>
    <row r="325" spans="1:36" s="8" customFormat="1" ht="15.75" hidden="1">
      <c r="A325" s="516"/>
      <c r="B325" s="877"/>
      <c r="C325" s="681"/>
      <c r="D325" s="2444" t="s">
        <v>20</v>
      </c>
      <c r="E325" s="2445"/>
      <c r="F325" s="2445"/>
      <c r="G325" s="2445"/>
      <c r="H325" s="2445"/>
      <c r="I325" s="2446"/>
      <c r="J325" s="2450">
        <f>R324/J324</f>
        <v>0</v>
      </c>
      <c r="K325" s="2451"/>
      <c r="L325" s="2454"/>
      <c r="M325" s="2500" t="s">
        <v>21</v>
      </c>
      <c r="N325" s="2501"/>
      <c r="O325" s="2501"/>
      <c r="P325" s="2501"/>
      <c r="Q325" s="2502"/>
      <c r="R325" s="878">
        <f>VLOOKUP(A326,'12 - FINANCEIRA'!_xlnm.Print_Area,8,FALSE)</f>
        <v>0</v>
      </c>
      <c r="S325" s="879" t="str">
        <f>L324</f>
        <v>m</v>
      </c>
      <c r="T325" s="680"/>
      <c r="U325" s="663"/>
      <c r="V325" s="870">
        <f t="shared" si="35"/>
        <v>0</v>
      </c>
      <c r="AB325" s="15"/>
    </row>
    <row r="326" spans="1:36" s="8" customFormat="1" ht="15.75" hidden="1">
      <c r="A326" s="516" t="s">
        <v>482</v>
      </c>
      <c r="B326" s="880"/>
      <c r="C326" s="885"/>
      <c r="D326" s="2475"/>
      <c r="E326" s="2460"/>
      <c r="F326" s="2460"/>
      <c r="G326" s="2460"/>
      <c r="H326" s="2460"/>
      <c r="I326" s="2476"/>
      <c r="J326" s="2477"/>
      <c r="K326" s="2478"/>
      <c r="L326" s="2483"/>
      <c r="M326" s="2500" t="s">
        <v>22</v>
      </c>
      <c r="N326" s="2501"/>
      <c r="O326" s="2501"/>
      <c r="P326" s="2501"/>
      <c r="Q326" s="2502"/>
      <c r="R326" s="878">
        <f>R324-R325</f>
        <v>0</v>
      </c>
      <c r="S326" s="879" t="str">
        <f>L324</f>
        <v>m</v>
      </c>
      <c r="T326" s="886"/>
      <c r="U326" s="881"/>
      <c r="V326" s="870">
        <f>R326</f>
        <v>0</v>
      </c>
      <c r="AB326" s="15"/>
    </row>
    <row r="327" spans="1:36" s="8" customFormat="1" ht="15.75" hidden="1">
      <c r="A327" s="516"/>
      <c r="B327" s="523"/>
      <c r="C327" s="524"/>
      <c r="D327" s="526"/>
      <c r="E327" s="526"/>
      <c r="F327" s="526"/>
      <c r="G327" s="525"/>
      <c r="H327" s="525"/>
      <c r="I327" s="525"/>
      <c r="J327" s="527"/>
      <c r="K327" s="528"/>
      <c r="L327" s="529"/>
      <c r="M327" s="530"/>
      <c r="N327" s="530"/>
      <c r="O327" s="530"/>
      <c r="P327" s="530"/>
      <c r="Q327" s="530"/>
      <c r="R327" s="531"/>
      <c r="S327" s="532"/>
      <c r="T327" s="533"/>
      <c r="U327" s="534"/>
      <c r="V327" s="871">
        <f>SUM(V318:V326)</f>
        <v>0</v>
      </c>
      <c r="AB327" s="15"/>
    </row>
    <row r="328" spans="1:36" s="494" customFormat="1" ht="15.75">
      <c r="A328" s="943"/>
      <c r="B328" s="489" t="s">
        <v>486</v>
      </c>
      <c r="C328" s="490" t="str">
        <f>VLOOKUP(B328,'12 - FINANCEIRA'!_xlnm.Print_Area,2,FALSE)</f>
        <v>MANUTENÇÃO REDE ESGOTO</v>
      </c>
      <c r="D328" s="491"/>
      <c r="E328" s="491"/>
      <c r="F328" s="491"/>
      <c r="G328" s="2492"/>
      <c r="H328" s="2493"/>
      <c r="I328" s="2493"/>
      <c r="J328" s="2493"/>
      <c r="K328" s="2493"/>
      <c r="L328" s="2493"/>
      <c r="M328" s="492"/>
      <c r="N328" s="493"/>
      <c r="O328" s="2493"/>
      <c r="P328" s="2493"/>
      <c r="Q328" s="2493"/>
      <c r="R328" s="2493"/>
      <c r="S328" s="892"/>
      <c r="U328" s="683"/>
      <c r="V328" s="487">
        <f>SUM(V329:V348)</f>
        <v>342</v>
      </c>
    </row>
    <row r="329" spans="1:36" s="497" customFormat="1" ht="15.75">
      <c r="A329" s="495"/>
      <c r="B329" s="2423" t="str">
        <f>VLOOKUP(A347,'12 - FINANCEIRA'!_xlnm.Print_Area,1,FALSE)</f>
        <v>2.3.1</v>
      </c>
      <c r="C329" s="2421" t="str">
        <f>VLOOKUP(A347,'12 - FINANCEIRA'!_xlnm.Print_Area,3,FALSE)</f>
        <v>Poço de visita - PVI 02 - areia e brita comerciais</v>
      </c>
      <c r="D329" s="2479" t="s">
        <v>97</v>
      </c>
      <c r="E329" s="2480"/>
      <c r="F329" s="2480"/>
      <c r="G329" s="2480"/>
      <c r="H329" s="2480"/>
      <c r="I329" s="2481"/>
      <c r="J329" s="2416" t="s">
        <v>98</v>
      </c>
      <c r="K329" s="2416" t="s">
        <v>102</v>
      </c>
      <c r="L329" s="2416" t="s">
        <v>103</v>
      </c>
      <c r="M329" s="2416" t="s">
        <v>228</v>
      </c>
      <c r="N329" s="2416" t="s">
        <v>229</v>
      </c>
      <c r="O329" s="2416" t="s">
        <v>107</v>
      </c>
      <c r="P329" s="496" t="s">
        <v>153</v>
      </c>
      <c r="Q329" s="2416" t="s">
        <v>2</v>
      </c>
      <c r="R329" s="2425" t="s">
        <v>2</v>
      </c>
      <c r="S329" s="2416" t="s">
        <v>99</v>
      </c>
      <c r="T329" s="2416" t="s">
        <v>17</v>
      </c>
      <c r="U329" s="2428" t="s">
        <v>362</v>
      </c>
      <c r="V329" s="1314">
        <f t="shared" ref="V329:V346" si="36">V330</f>
        <v>9</v>
      </c>
      <c r="W329" s="26"/>
      <c r="X329" s="26"/>
      <c r="Y329" s="26"/>
      <c r="Z329" s="27"/>
      <c r="AA329" s="9"/>
      <c r="AB329" s="9"/>
      <c r="AC329" s="9"/>
      <c r="AD329" s="9"/>
      <c r="AE329" s="9"/>
      <c r="AF329" s="9"/>
      <c r="AG329" s="9"/>
      <c r="AH329" s="9"/>
      <c r="AI329" s="9"/>
      <c r="AJ329" s="9"/>
    </row>
    <row r="330" spans="1:36" s="497" customFormat="1" ht="15.75">
      <c r="A330" s="495"/>
      <c r="B330" s="2471" t="e">
        <f>LEFT(#REF!,5)</f>
        <v>#REF!</v>
      </c>
      <c r="C330" s="2472" t="e">
        <f>VLOOKUP(LEFT(#REF!,5),'12 - FINANCEIRA'!_xlnm.Print_Area,2,FALSE)</f>
        <v>#REF!</v>
      </c>
      <c r="D330" s="2430" t="s">
        <v>14</v>
      </c>
      <c r="E330" s="2431"/>
      <c r="F330" s="2432"/>
      <c r="G330" s="2433" t="s">
        <v>15</v>
      </c>
      <c r="H330" s="2434"/>
      <c r="I330" s="2435"/>
      <c r="J330" s="2427"/>
      <c r="K330" s="2427"/>
      <c r="L330" s="2427"/>
      <c r="M330" s="2427"/>
      <c r="N330" s="2427"/>
      <c r="O330" s="2427"/>
      <c r="P330" s="498" t="s">
        <v>104</v>
      </c>
      <c r="Q330" s="2427"/>
      <c r="R330" s="2426"/>
      <c r="S330" s="2427"/>
      <c r="T330" s="2427"/>
      <c r="U330" s="2429"/>
      <c r="V330" s="1314">
        <f t="shared" si="36"/>
        <v>9</v>
      </c>
      <c r="W330" s="26"/>
      <c r="X330" s="26"/>
      <c r="Y330" s="26"/>
      <c r="Z330" s="27"/>
      <c r="AA330" s="9"/>
      <c r="AB330" s="9"/>
      <c r="AC330" s="9"/>
      <c r="AD330" s="9"/>
      <c r="AE330" s="9"/>
      <c r="AF330" s="9"/>
      <c r="AG330" s="9"/>
      <c r="AH330" s="9"/>
      <c r="AI330" s="9"/>
      <c r="AJ330" s="9"/>
    </row>
    <row r="331" spans="1:36" s="9" customFormat="1" ht="15">
      <c r="A331" s="944"/>
      <c r="B331" s="921"/>
      <c r="C331" s="58" t="s">
        <v>1055</v>
      </c>
      <c r="D331" s="82">
        <v>106</v>
      </c>
      <c r="E331" s="44" t="s">
        <v>68</v>
      </c>
      <c r="F331" s="83">
        <v>6</v>
      </c>
      <c r="G331" s="43"/>
      <c r="H331" s="44"/>
      <c r="I331" s="45"/>
      <c r="J331" s="46"/>
      <c r="K331" s="47"/>
      <c r="L331" s="48"/>
      <c r="M331" s="49"/>
      <c r="N331" s="211"/>
      <c r="O331" s="50"/>
      <c r="P331" s="48"/>
      <c r="Q331" s="209"/>
      <c r="R331" s="535">
        <v>1</v>
      </c>
      <c r="S331" s="876" t="s">
        <v>101</v>
      </c>
      <c r="T331" s="90" t="s">
        <v>83</v>
      </c>
      <c r="U331" s="169" t="s">
        <v>881</v>
      </c>
      <c r="V331" s="1314">
        <f t="shared" si="36"/>
        <v>9</v>
      </c>
      <c r="W331" s="26"/>
      <c r="X331" s="26"/>
      <c r="Y331" s="26"/>
      <c r="Z331" s="27"/>
      <c r="AA331" s="41"/>
      <c r="AB331" s="42"/>
    </row>
    <row r="332" spans="1:36" s="9" customFormat="1" ht="15">
      <c r="A332" s="944"/>
      <c r="B332" s="922"/>
      <c r="C332" s="58" t="s">
        <v>1056</v>
      </c>
      <c r="D332" s="82">
        <v>11</v>
      </c>
      <c r="E332" s="44" t="s">
        <v>68</v>
      </c>
      <c r="F332" s="83">
        <v>18</v>
      </c>
      <c r="G332" s="43"/>
      <c r="H332" s="44"/>
      <c r="I332" s="45"/>
      <c r="J332" s="46"/>
      <c r="K332" s="47"/>
      <c r="L332" s="48"/>
      <c r="M332" s="49"/>
      <c r="N332" s="211"/>
      <c r="O332" s="50"/>
      <c r="P332" s="48"/>
      <c r="Q332" s="209"/>
      <c r="R332" s="168">
        <v>1</v>
      </c>
      <c r="S332" s="536" t="s">
        <v>101</v>
      </c>
      <c r="T332" s="90" t="s">
        <v>83</v>
      </c>
      <c r="U332" s="39" t="s">
        <v>881</v>
      </c>
      <c r="V332" s="1314">
        <f t="shared" si="36"/>
        <v>9</v>
      </c>
      <c r="W332" s="26"/>
      <c r="X332" s="26"/>
      <c r="Y332" s="26"/>
      <c r="Z332" s="27"/>
      <c r="AA332" s="41"/>
      <c r="AB332" s="42"/>
    </row>
    <row r="333" spans="1:36" s="9" customFormat="1" ht="15">
      <c r="A333" s="944"/>
      <c r="B333" s="922"/>
      <c r="C333" s="58" t="s">
        <v>1056</v>
      </c>
      <c r="D333" s="1500">
        <v>0</v>
      </c>
      <c r="E333" s="1501" t="s">
        <v>68</v>
      </c>
      <c r="F333" s="1502">
        <v>4</v>
      </c>
      <c r="G333" s="845"/>
      <c r="H333" s="846"/>
      <c r="I333" s="847"/>
      <c r="J333" s="46"/>
      <c r="K333" s="47"/>
      <c r="L333" s="48"/>
      <c r="M333" s="49"/>
      <c r="N333" s="211"/>
      <c r="O333" s="50"/>
      <c r="P333" s="48"/>
      <c r="Q333" s="209"/>
      <c r="R333" s="887">
        <v>1</v>
      </c>
      <c r="S333" s="536" t="s">
        <v>101</v>
      </c>
      <c r="T333" s="90" t="s">
        <v>87</v>
      </c>
      <c r="U333" s="39" t="s">
        <v>881</v>
      </c>
      <c r="V333" s="1314">
        <f t="shared" si="36"/>
        <v>9</v>
      </c>
      <c r="W333" s="26"/>
      <c r="X333" s="26"/>
      <c r="Y333" s="26"/>
      <c r="Z333" s="27"/>
      <c r="AA333" s="41"/>
      <c r="AB333" s="42"/>
    </row>
    <row r="334" spans="1:36" s="9" customFormat="1" ht="15">
      <c r="A334" s="944"/>
      <c r="B334" s="922"/>
      <c r="C334" s="58" t="s">
        <v>1056</v>
      </c>
      <c r="D334" s="1500">
        <v>3</v>
      </c>
      <c r="E334" s="1501" t="s">
        <v>68</v>
      </c>
      <c r="F334" s="1502">
        <v>1</v>
      </c>
      <c r="G334" s="845"/>
      <c r="H334" s="846"/>
      <c r="I334" s="847"/>
      <c r="J334" s="46"/>
      <c r="K334" s="47"/>
      <c r="L334" s="48"/>
      <c r="M334" s="49"/>
      <c r="N334" s="211"/>
      <c r="O334" s="50"/>
      <c r="P334" s="48"/>
      <c r="Q334" s="209"/>
      <c r="R334" s="887">
        <v>1</v>
      </c>
      <c r="S334" s="536" t="s">
        <v>101</v>
      </c>
      <c r="T334" s="90" t="s">
        <v>87</v>
      </c>
      <c r="U334" s="39" t="s">
        <v>881</v>
      </c>
      <c r="V334" s="1314">
        <f t="shared" si="36"/>
        <v>9</v>
      </c>
      <c r="W334" s="26"/>
      <c r="X334" s="26"/>
      <c r="Y334" s="26"/>
      <c r="Z334" s="27"/>
      <c r="AA334" s="41"/>
      <c r="AB334" s="42"/>
    </row>
    <row r="335" spans="1:36" s="9" customFormat="1" ht="15">
      <c r="A335" s="944"/>
      <c r="B335" s="922"/>
      <c r="C335" s="58" t="s">
        <v>1056</v>
      </c>
      <c r="D335" s="1500">
        <v>5</v>
      </c>
      <c r="E335" s="1501" t="s">
        <v>68</v>
      </c>
      <c r="F335" s="1502">
        <v>11</v>
      </c>
      <c r="G335" s="845"/>
      <c r="H335" s="846"/>
      <c r="I335" s="847"/>
      <c r="J335" s="46"/>
      <c r="K335" s="47"/>
      <c r="L335" s="48"/>
      <c r="M335" s="49"/>
      <c r="N335" s="211"/>
      <c r="O335" s="50"/>
      <c r="P335" s="48"/>
      <c r="Q335" s="209"/>
      <c r="R335" s="887">
        <v>1</v>
      </c>
      <c r="S335" s="536" t="s">
        <v>101</v>
      </c>
      <c r="T335" s="90" t="s">
        <v>87</v>
      </c>
      <c r="U335" s="39" t="s">
        <v>881</v>
      </c>
      <c r="V335" s="1314">
        <f t="shared" si="36"/>
        <v>9</v>
      </c>
      <c r="W335" s="26"/>
      <c r="X335" s="26"/>
      <c r="Y335" s="26"/>
      <c r="Z335" s="27"/>
      <c r="AA335" s="41"/>
      <c r="AB335" s="42"/>
    </row>
    <row r="336" spans="1:36" s="9" customFormat="1" ht="15">
      <c r="A336" s="944"/>
      <c r="B336" s="922"/>
      <c r="C336" s="79" t="s">
        <v>1056</v>
      </c>
      <c r="D336" s="1611">
        <v>5</v>
      </c>
      <c r="E336" s="1612" t="s">
        <v>68</v>
      </c>
      <c r="F336" s="1613">
        <v>18</v>
      </c>
      <c r="G336" s="1696"/>
      <c r="H336" s="1697"/>
      <c r="I336" s="1698"/>
      <c r="J336" s="1699"/>
      <c r="K336" s="1700"/>
      <c r="L336" s="1701"/>
      <c r="M336" s="1702"/>
      <c r="N336" s="1703"/>
      <c r="O336" s="1704"/>
      <c r="P336" s="1701"/>
      <c r="Q336" s="1705"/>
      <c r="R336" s="1706">
        <v>1</v>
      </c>
      <c r="S336" s="1707" t="s">
        <v>101</v>
      </c>
      <c r="T336" s="1708" t="s">
        <v>90</v>
      </c>
      <c r="U336" s="212" t="s">
        <v>881</v>
      </c>
      <c r="V336" s="1314">
        <f t="shared" si="36"/>
        <v>9</v>
      </c>
      <c r="W336" s="26"/>
      <c r="X336" s="26"/>
      <c r="Y336" s="26"/>
      <c r="Z336" s="27"/>
      <c r="AA336" s="41"/>
      <c r="AB336" s="42"/>
    </row>
    <row r="337" spans="1:36" s="9" customFormat="1" ht="15">
      <c r="A337" s="944"/>
      <c r="B337" s="922"/>
      <c r="C337" s="79" t="s">
        <v>1056</v>
      </c>
      <c r="D337" s="1611">
        <v>8</v>
      </c>
      <c r="E337" s="1612" t="s">
        <v>68</v>
      </c>
      <c r="F337" s="1613">
        <v>14</v>
      </c>
      <c r="G337" s="1696"/>
      <c r="H337" s="1697"/>
      <c r="I337" s="1698"/>
      <c r="J337" s="1699"/>
      <c r="K337" s="1700"/>
      <c r="L337" s="1701"/>
      <c r="M337" s="1702"/>
      <c r="N337" s="1703"/>
      <c r="O337" s="1704"/>
      <c r="P337" s="1701"/>
      <c r="Q337" s="1705"/>
      <c r="R337" s="1706">
        <v>1</v>
      </c>
      <c r="S337" s="1707" t="s">
        <v>101</v>
      </c>
      <c r="T337" s="1708" t="s">
        <v>90</v>
      </c>
      <c r="U337" s="212" t="s">
        <v>881</v>
      </c>
      <c r="V337" s="1314">
        <f t="shared" si="36"/>
        <v>9</v>
      </c>
      <c r="W337" s="26"/>
      <c r="X337" s="26"/>
      <c r="Y337" s="26"/>
      <c r="Z337" s="27"/>
      <c r="AA337" s="41"/>
      <c r="AB337" s="42"/>
    </row>
    <row r="338" spans="1:36" s="9" customFormat="1" ht="15">
      <c r="A338" s="944"/>
      <c r="B338" s="922"/>
      <c r="C338" s="79" t="s">
        <v>1056</v>
      </c>
      <c r="D338" s="1611">
        <v>11</v>
      </c>
      <c r="E338" s="1612" t="s">
        <v>68</v>
      </c>
      <c r="F338" s="1613">
        <v>7</v>
      </c>
      <c r="G338" s="1696"/>
      <c r="H338" s="1697"/>
      <c r="I338" s="1698"/>
      <c r="J338" s="1699"/>
      <c r="K338" s="1700"/>
      <c r="L338" s="1701"/>
      <c r="M338" s="1702"/>
      <c r="N338" s="1703"/>
      <c r="O338" s="1704"/>
      <c r="P338" s="1701"/>
      <c r="Q338" s="1705"/>
      <c r="R338" s="1706">
        <v>1</v>
      </c>
      <c r="S338" s="1707" t="s">
        <v>101</v>
      </c>
      <c r="T338" s="1708" t="s">
        <v>90</v>
      </c>
      <c r="U338" s="212" t="s">
        <v>881</v>
      </c>
      <c r="V338" s="1314">
        <f t="shared" si="36"/>
        <v>9</v>
      </c>
      <c r="W338" s="26"/>
      <c r="X338" s="26"/>
      <c r="Y338" s="26"/>
      <c r="Z338" s="27"/>
      <c r="AA338" s="41"/>
      <c r="AB338" s="42"/>
    </row>
    <row r="339" spans="1:36" s="9" customFormat="1" ht="15">
      <c r="A339" s="944"/>
      <c r="B339" s="922"/>
      <c r="C339" s="79" t="s">
        <v>1056</v>
      </c>
      <c r="D339" s="1611">
        <v>14</v>
      </c>
      <c r="E339" s="1612" t="s">
        <v>68</v>
      </c>
      <c r="F339" s="1613">
        <v>7</v>
      </c>
      <c r="G339" s="1709"/>
      <c r="H339" s="1687"/>
      <c r="I339" s="1688"/>
      <c r="J339" s="1699"/>
      <c r="K339" s="1700"/>
      <c r="L339" s="1701"/>
      <c r="M339" s="1702"/>
      <c r="N339" s="1704"/>
      <c r="O339" s="1704"/>
      <c r="P339" s="1701"/>
      <c r="Q339" s="1710"/>
      <c r="R339" s="1706">
        <v>1</v>
      </c>
      <c r="S339" s="1626" t="s">
        <v>101</v>
      </c>
      <c r="T339" s="1708" t="s">
        <v>90</v>
      </c>
      <c r="U339" s="212" t="s">
        <v>881</v>
      </c>
      <c r="V339" s="1314">
        <f t="shared" si="36"/>
        <v>9</v>
      </c>
      <c r="W339" s="26"/>
      <c r="X339" s="26"/>
      <c r="Y339" s="26"/>
      <c r="Z339" s="27"/>
      <c r="AA339" s="41"/>
      <c r="AB339" s="42"/>
    </row>
    <row r="340" spans="1:36" s="9" customFormat="1" ht="15">
      <c r="A340" s="944"/>
      <c r="B340" s="922"/>
      <c r="C340" s="79" t="s">
        <v>1056</v>
      </c>
      <c r="D340" s="1611">
        <v>16</v>
      </c>
      <c r="E340" s="1612" t="s">
        <v>68</v>
      </c>
      <c r="F340" s="1613">
        <v>18</v>
      </c>
      <c r="G340" s="1709"/>
      <c r="H340" s="1687"/>
      <c r="I340" s="1688"/>
      <c r="J340" s="1403"/>
      <c r="K340" s="1711"/>
      <c r="L340" s="1712"/>
      <c r="M340" s="1702"/>
      <c r="N340" s="1703"/>
      <c r="O340" s="1704"/>
      <c r="P340" s="1701"/>
      <c r="Q340" s="1705"/>
      <c r="R340" s="1628">
        <v>1</v>
      </c>
      <c r="S340" s="1626" t="s">
        <v>101</v>
      </c>
      <c r="T340" s="1708" t="s">
        <v>90</v>
      </c>
      <c r="U340" s="212" t="s">
        <v>881</v>
      </c>
      <c r="V340" s="1314">
        <f t="shared" si="36"/>
        <v>9</v>
      </c>
      <c r="W340" s="26"/>
      <c r="X340" s="26"/>
      <c r="Y340" s="26"/>
      <c r="Z340" s="27"/>
      <c r="AA340" s="41"/>
      <c r="AB340" s="42"/>
    </row>
    <row r="341" spans="1:36" s="9" customFormat="1" ht="15">
      <c r="A341" s="944"/>
      <c r="B341" s="922"/>
      <c r="C341" s="79" t="s">
        <v>1055</v>
      </c>
      <c r="D341" s="1611">
        <v>103</v>
      </c>
      <c r="E341" s="1612" t="s">
        <v>68</v>
      </c>
      <c r="F341" s="1613">
        <v>6</v>
      </c>
      <c r="G341" s="1709"/>
      <c r="H341" s="1687"/>
      <c r="I341" s="1688"/>
      <c r="J341" s="1403"/>
      <c r="K341" s="1711"/>
      <c r="L341" s="1712"/>
      <c r="M341" s="1702"/>
      <c r="N341" s="1703"/>
      <c r="O341" s="1704"/>
      <c r="P341" s="1701"/>
      <c r="Q341" s="1705"/>
      <c r="R341" s="1628">
        <v>1</v>
      </c>
      <c r="S341" s="1626" t="s">
        <v>101</v>
      </c>
      <c r="T341" s="1708" t="s">
        <v>90</v>
      </c>
      <c r="U341" s="212" t="s">
        <v>881</v>
      </c>
      <c r="V341" s="1314">
        <f t="shared" si="36"/>
        <v>9</v>
      </c>
      <c r="W341" s="26"/>
      <c r="X341" s="26"/>
      <c r="Y341" s="26"/>
      <c r="Z341" s="27"/>
      <c r="AA341" s="41"/>
      <c r="AB341" s="42"/>
    </row>
    <row r="342" spans="1:36" s="9" customFormat="1" ht="15">
      <c r="A342" s="944"/>
      <c r="B342" s="922"/>
      <c r="C342" s="79" t="s">
        <v>1055</v>
      </c>
      <c r="D342" s="1611">
        <v>104</v>
      </c>
      <c r="E342" s="1612" t="s">
        <v>68</v>
      </c>
      <c r="F342" s="1613">
        <v>6</v>
      </c>
      <c r="G342" s="1709"/>
      <c r="H342" s="1687"/>
      <c r="I342" s="1688"/>
      <c r="J342" s="1403"/>
      <c r="K342" s="1711"/>
      <c r="L342" s="1712"/>
      <c r="M342" s="1702"/>
      <c r="N342" s="1703"/>
      <c r="O342" s="1704"/>
      <c r="P342" s="1701"/>
      <c r="Q342" s="1705"/>
      <c r="R342" s="1628">
        <v>1</v>
      </c>
      <c r="S342" s="1626" t="s">
        <v>101</v>
      </c>
      <c r="T342" s="1708" t="s">
        <v>90</v>
      </c>
      <c r="U342" s="212" t="s">
        <v>881</v>
      </c>
      <c r="V342" s="1314">
        <f t="shared" si="36"/>
        <v>9</v>
      </c>
      <c r="W342" s="26"/>
      <c r="X342" s="26"/>
      <c r="Y342" s="26"/>
      <c r="Z342" s="27"/>
      <c r="AA342" s="41"/>
      <c r="AB342" s="42"/>
    </row>
    <row r="343" spans="1:36" s="9" customFormat="1" ht="15">
      <c r="A343" s="944"/>
      <c r="B343" s="922"/>
      <c r="C343" s="79" t="s">
        <v>1055</v>
      </c>
      <c r="D343" s="1686">
        <v>109</v>
      </c>
      <c r="E343" s="1687" t="s">
        <v>68</v>
      </c>
      <c r="F343" s="1695">
        <v>10</v>
      </c>
      <c r="G343" s="1709"/>
      <c r="H343" s="1687"/>
      <c r="I343" s="1688"/>
      <c r="J343" s="1403"/>
      <c r="K343" s="1711"/>
      <c r="L343" s="1712"/>
      <c r="M343" s="1702"/>
      <c r="N343" s="1703"/>
      <c r="O343" s="1704"/>
      <c r="P343" s="1701"/>
      <c r="Q343" s="1705"/>
      <c r="R343" s="1628">
        <v>1</v>
      </c>
      <c r="S343" s="1626" t="s">
        <v>101</v>
      </c>
      <c r="T343" s="1708" t="s">
        <v>90</v>
      </c>
      <c r="U343" s="212" t="s">
        <v>881</v>
      </c>
      <c r="V343" s="1314">
        <f t="shared" si="36"/>
        <v>9</v>
      </c>
      <c r="W343" s="26"/>
      <c r="X343" s="26"/>
      <c r="Y343" s="26"/>
      <c r="Z343" s="27"/>
      <c r="AA343" s="41"/>
      <c r="AB343" s="42"/>
    </row>
    <row r="344" spans="1:36" s="8" customFormat="1" ht="15">
      <c r="A344" s="516"/>
      <c r="B344" s="925"/>
      <c r="C344" s="127" t="s">
        <v>1055</v>
      </c>
      <c r="D344" s="1713">
        <v>112</v>
      </c>
      <c r="E344" s="1714" t="s">
        <v>68</v>
      </c>
      <c r="F344" s="1715">
        <v>0</v>
      </c>
      <c r="G344" s="1716"/>
      <c r="H344" s="1714"/>
      <c r="I344" s="1717"/>
      <c r="J344" s="1718"/>
      <c r="K344" s="1719"/>
      <c r="L344" s="1720"/>
      <c r="M344" s="1721"/>
      <c r="N344" s="1722"/>
      <c r="O344" s="1723"/>
      <c r="P344" s="1724"/>
      <c r="Q344" s="1725"/>
      <c r="R344" s="1726">
        <v>1</v>
      </c>
      <c r="S344" s="1727" t="s">
        <v>101</v>
      </c>
      <c r="T344" s="1728" t="s">
        <v>90</v>
      </c>
      <c r="U344" s="1736" t="s">
        <v>881</v>
      </c>
      <c r="V344" s="1314">
        <f t="shared" si="36"/>
        <v>9</v>
      </c>
      <c r="W344" s="938"/>
      <c r="X344" s="938"/>
      <c r="Y344" s="938"/>
      <c r="Z344" s="939"/>
    </row>
    <row r="345" spans="1:36" s="8" customFormat="1" ht="15.75">
      <c r="A345" s="516"/>
      <c r="B345" s="877"/>
      <c r="C345" s="113"/>
      <c r="D345" s="2475" t="s">
        <v>18</v>
      </c>
      <c r="E345" s="2460"/>
      <c r="F345" s="2460"/>
      <c r="G345" s="2460"/>
      <c r="H345" s="2460"/>
      <c r="I345" s="2476"/>
      <c r="J345" s="2484">
        <f>VLOOKUP(A347,'12 - FINANCEIRA'!_xlnm.Print_Area,6,FALSE)</f>
        <v>14</v>
      </c>
      <c r="K345" s="2485"/>
      <c r="L345" s="910" t="str">
        <f>VLOOKUP(A347,'12 - FINANCEIRA'!_xlnm.Print_Area,4,FALSE)</f>
        <v>und</v>
      </c>
      <c r="M345" s="2486" t="s">
        <v>19</v>
      </c>
      <c r="N345" s="2465"/>
      <c r="O345" s="2465"/>
      <c r="P345" s="2465"/>
      <c r="Q345" s="2487"/>
      <c r="R345" s="904">
        <f>SUM(R331:R344)</f>
        <v>14</v>
      </c>
      <c r="S345" s="905" t="str">
        <f>L345</f>
        <v>und</v>
      </c>
      <c r="T345" s="680"/>
      <c r="U345" s="663"/>
      <c r="V345" s="1314">
        <f t="shared" si="36"/>
        <v>9</v>
      </c>
      <c r="AB345" s="15"/>
    </row>
    <row r="346" spans="1:36" s="8" customFormat="1" ht="15.75">
      <c r="A346" s="516"/>
      <c r="B346" s="877"/>
      <c r="C346" s="681"/>
      <c r="D346" s="2444" t="s">
        <v>20</v>
      </c>
      <c r="E346" s="2445"/>
      <c r="F346" s="2445"/>
      <c r="G346" s="2445"/>
      <c r="H346" s="2445"/>
      <c r="I346" s="2446"/>
      <c r="J346" s="2450">
        <f>R345/J345</f>
        <v>1</v>
      </c>
      <c r="K346" s="2451"/>
      <c r="L346" s="2454"/>
      <c r="M346" s="2441" t="s">
        <v>21</v>
      </c>
      <c r="N346" s="2442"/>
      <c r="O346" s="2442"/>
      <c r="P346" s="2442"/>
      <c r="Q346" s="2443"/>
      <c r="R346" s="878">
        <f>VLOOKUP(A347,'12 - FINANCEIRA'!_xlnm.Print_Area,8,FALSE)</f>
        <v>5</v>
      </c>
      <c r="S346" s="879" t="str">
        <f>L345</f>
        <v>und</v>
      </c>
      <c r="T346" s="680"/>
      <c r="U346" s="663"/>
      <c r="V346" s="1314">
        <f t="shared" si="36"/>
        <v>9</v>
      </c>
      <c r="AB346" s="15"/>
    </row>
    <row r="347" spans="1:36" s="8" customFormat="1" ht="15.75">
      <c r="A347" s="516" t="s">
        <v>487</v>
      </c>
      <c r="B347" s="877"/>
      <c r="C347" s="113"/>
      <c r="D347" s="2447"/>
      <c r="E347" s="2448"/>
      <c r="F347" s="2448"/>
      <c r="G347" s="2448"/>
      <c r="H347" s="2448"/>
      <c r="I347" s="2449"/>
      <c r="J347" s="2452"/>
      <c r="K347" s="2453"/>
      <c r="L347" s="2455"/>
      <c r="M347" s="2456" t="s">
        <v>22</v>
      </c>
      <c r="N347" s="2457"/>
      <c r="O347" s="2457"/>
      <c r="P347" s="2457"/>
      <c r="Q347" s="2458"/>
      <c r="R347" s="521">
        <f>R345-R346</f>
        <v>9</v>
      </c>
      <c r="S347" s="522" t="str">
        <f>L345</f>
        <v>und</v>
      </c>
      <c r="T347" s="680"/>
      <c r="U347" s="663"/>
      <c r="V347" s="1314">
        <f>R347</f>
        <v>9</v>
      </c>
      <c r="AB347" s="15"/>
    </row>
    <row r="348" spans="1:36" s="8" customFormat="1" ht="15.75">
      <c r="A348" s="516"/>
      <c r="B348" s="523"/>
      <c r="C348" s="524"/>
      <c r="D348" s="526"/>
      <c r="E348" s="526"/>
      <c r="F348" s="526"/>
      <c r="G348" s="525"/>
      <c r="H348" s="525"/>
      <c r="I348" s="525"/>
      <c r="J348" s="527"/>
      <c r="K348" s="528"/>
      <c r="L348" s="529"/>
      <c r="M348" s="530"/>
      <c r="N348" s="530"/>
      <c r="O348" s="530"/>
      <c r="P348" s="530"/>
      <c r="Q348" s="530"/>
      <c r="R348" s="531"/>
      <c r="S348" s="532"/>
      <c r="T348" s="533"/>
      <c r="U348" s="534"/>
      <c r="V348" s="1658">
        <f>SUM(V329:V347)</f>
        <v>171</v>
      </c>
      <c r="AB348" s="15"/>
    </row>
    <row r="349" spans="1:36" s="494" customFormat="1" ht="15.75" hidden="1">
      <c r="A349" s="943"/>
      <c r="B349" s="489" t="s">
        <v>488</v>
      </c>
      <c r="C349" s="490" t="str">
        <f>VLOOKUP(B349,'12 - FINANCEIRA'!_xlnm.Print_Area,2,FALSE)</f>
        <v>OBRAS COMPLEMENTARES</v>
      </c>
      <c r="D349" s="491"/>
      <c r="E349" s="491"/>
      <c r="F349" s="491"/>
      <c r="G349" s="2492"/>
      <c r="H349" s="2493"/>
      <c r="I349" s="2493"/>
      <c r="J349" s="2493"/>
      <c r="K349" s="2493"/>
      <c r="L349" s="2493"/>
      <c r="M349" s="492"/>
      <c r="N349" s="493"/>
      <c r="O349" s="2493"/>
      <c r="P349" s="2493"/>
      <c r="Q349" s="2493"/>
      <c r="R349" s="2493"/>
      <c r="S349" s="892"/>
      <c r="T349" s="906"/>
      <c r="U349" s="907"/>
      <c r="V349" s="487">
        <f>SUM(V350:V408)</f>
        <v>14899.430000000002</v>
      </c>
    </row>
    <row r="350" spans="1:36" s="497" customFormat="1" ht="15.75">
      <c r="A350" s="495"/>
      <c r="B350" s="2423" t="str">
        <f>VLOOKUP(A377,'12 - FINANCEIRA'!_xlnm.Print_Area,1,FALSE)</f>
        <v>2.4.1</v>
      </c>
      <c r="C350" s="2421" t="str">
        <f>VLOOKUP(A377,'12 - FINANCEIRA'!_xlnm.Print_Area,3,FALSE)</f>
        <v>Demolição de concreto simples (PV e BSTC)</v>
      </c>
      <c r="D350" s="2479" t="s">
        <v>97</v>
      </c>
      <c r="E350" s="2480"/>
      <c r="F350" s="2480"/>
      <c r="G350" s="2480"/>
      <c r="H350" s="2480"/>
      <c r="I350" s="2481"/>
      <c r="J350" s="2416" t="s">
        <v>98</v>
      </c>
      <c r="K350" s="2416" t="s">
        <v>102</v>
      </c>
      <c r="L350" s="2416" t="s">
        <v>750</v>
      </c>
      <c r="M350" s="2416" t="s">
        <v>1062</v>
      </c>
      <c r="N350" s="2416" t="s">
        <v>103</v>
      </c>
      <c r="O350" s="2416" t="s">
        <v>1063</v>
      </c>
      <c r="P350" s="2416" t="s">
        <v>107</v>
      </c>
      <c r="Q350" s="2416" t="s">
        <v>16</v>
      </c>
      <c r="R350" s="2425" t="s">
        <v>2</v>
      </c>
      <c r="S350" s="2416" t="s">
        <v>99</v>
      </c>
      <c r="T350" s="2416" t="s">
        <v>17</v>
      </c>
      <c r="U350" s="2428" t="s">
        <v>362</v>
      </c>
      <c r="V350" s="1314">
        <f t="shared" ref="V350:V376" si="37">V351</f>
        <v>244</v>
      </c>
      <c r="W350" s="26"/>
      <c r="X350" s="26"/>
      <c r="Y350" s="26"/>
      <c r="Z350" s="27"/>
      <c r="AA350" s="9"/>
      <c r="AB350" s="9"/>
      <c r="AC350" s="9"/>
      <c r="AD350" s="9"/>
      <c r="AE350" s="9"/>
      <c r="AF350" s="9"/>
      <c r="AG350" s="9"/>
      <c r="AH350" s="9"/>
      <c r="AI350" s="9"/>
      <c r="AJ350" s="9"/>
    </row>
    <row r="351" spans="1:36" s="497" customFormat="1" ht="15.75">
      <c r="A351" s="495"/>
      <c r="B351" s="2471" t="e">
        <f>LEFT(#REF!,5)</f>
        <v>#REF!</v>
      </c>
      <c r="C351" s="2472" t="e">
        <f>VLOOKUP(LEFT(#REF!,5),'12 - FINANCEIRA'!_xlnm.Print_Area,2,FALSE)</f>
        <v>#REF!</v>
      </c>
      <c r="D351" s="2430" t="s">
        <v>14</v>
      </c>
      <c r="E351" s="2431"/>
      <c r="F351" s="2432"/>
      <c r="G351" s="2433" t="s">
        <v>15</v>
      </c>
      <c r="H351" s="2434"/>
      <c r="I351" s="2435"/>
      <c r="J351" s="2427"/>
      <c r="K351" s="2427"/>
      <c r="L351" s="2427"/>
      <c r="M351" s="2427"/>
      <c r="N351" s="2427"/>
      <c r="O351" s="2427"/>
      <c r="P351" s="2427"/>
      <c r="Q351" s="2427"/>
      <c r="R351" s="2426"/>
      <c r="S351" s="2427"/>
      <c r="T351" s="2427"/>
      <c r="U351" s="2429"/>
      <c r="V351" s="1314">
        <f t="shared" ref="V351:V354" si="38">V371</f>
        <v>244</v>
      </c>
      <c r="W351" s="26"/>
      <c r="X351" s="26"/>
      <c r="Y351" s="26"/>
      <c r="Z351" s="27"/>
      <c r="AA351" s="9"/>
      <c r="AB351" s="9"/>
      <c r="AC351" s="9"/>
      <c r="AD351" s="9"/>
      <c r="AE351" s="9"/>
      <c r="AF351" s="9"/>
      <c r="AG351" s="9"/>
      <c r="AH351" s="9"/>
      <c r="AI351" s="9"/>
      <c r="AJ351" s="9"/>
    </row>
    <row r="352" spans="1:36" s="9" customFormat="1" ht="15">
      <c r="A352" s="944"/>
      <c r="B352" s="922"/>
      <c r="C352" s="30" t="s">
        <v>747</v>
      </c>
      <c r="D352" s="31"/>
      <c r="E352" s="32"/>
      <c r="F352" s="33"/>
      <c r="G352" s="894"/>
      <c r="H352" s="32"/>
      <c r="I352" s="895"/>
      <c r="J352" s="34"/>
      <c r="K352" s="84"/>
      <c r="L352" s="864">
        <v>21</v>
      </c>
      <c r="M352" s="36"/>
      <c r="N352" s="889"/>
      <c r="O352" s="81"/>
      <c r="P352" s="890">
        <v>1.67</v>
      </c>
      <c r="Q352" s="37"/>
      <c r="R352" s="842">
        <f>L352*P352</f>
        <v>35.07</v>
      </c>
      <c r="S352" s="855" t="s">
        <v>5</v>
      </c>
      <c r="T352" s="857" t="s">
        <v>368</v>
      </c>
      <c r="U352" s="78"/>
      <c r="V352" s="1314">
        <f t="shared" si="38"/>
        <v>244</v>
      </c>
      <c r="W352" s="26"/>
      <c r="X352" s="26"/>
      <c r="Y352" s="26"/>
      <c r="Z352" s="27"/>
      <c r="AA352" s="41"/>
      <c r="AB352" s="42"/>
    </row>
    <row r="353" spans="1:28" s="9" customFormat="1" ht="15">
      <c r="A353" s="944"/>
      <c r="B353" s="922"/>
      <c r="C353" s="30" t="s">
        <v>748</v>
      </c>
      <c r="D353" s="31"/>
      <c r="E353" s="32"/>
      <c r="F353" s="33"/>
      <c r="G353" s="894"/>
      <c r="H353" s="32"/>
      <c r="I353" s="895"/>
      <c r="J353" s="34"/>
      <c r="K353" s="84"/>
      <c r="L353" s="35">
        <v>6</v>
      </c>
      <c r="M353" s="36"/>
      <c r="N353" s="889"/>
      <c r="O353" s="81"/>
      <c r="P353" s="890">
        <v>1.67</v>
      </c>
      <c r="Q353" s="37"/>
      <c r="R353" s="883">
        <f>L353*P353</f>
        <v>10.02</v>
      </c>
      <c r="S353" s="1035" t="s">
        <v>5</v>
      </c>
      <c r="T353" s="857" t="s">
        <v>368</v>
      </c>
      <c r="U353" s="78"/>
      <c r="V353" s="1314">
        <f t="shared" si="38"/>
        <v>244</v>
      </c>
      <c r="W353" s="26"/>
      <c r="X353" s="26"/>
      <c r="Y353" s="26"/>
      <c r="Z353" s="27"/>
      <c r="AA353" s="41"/>
      <c r="AB353" s="42"/>
    </row>
    <row r="354" spans="1:28" s="8" customFormat="1" ht="15">
      <c r="A354" s="516"/>
      <c r="B354" s="922"/>
      <c r="C354" s="30" t="s">
        <v>749</v>
      </c>
      <c r="D354" s="31"/>
      <c r="E354" s="32"/>
      <c r="F354" s="33"/>
      <c r="G354" s="894"/>
      <c r="H354" s="32"/>
      <c r="I354" s="895"/>
      <c r="J354" s="34"/>
      <c r="K354" s="84">
        <v>595</v>
      </c>
      <c r="L354" s="35"/>
      <c r="M354" s="36"/>
      <c r="N354" s="81"/>
      <c r="O354" s="81"/>
      <c r="P354" s="890">
        <v>1.4999999999999999E-2</v>
      </c>
      <c r="Q354" s="37"/>
      <c r="R354" s="1036">
        <f>K354*P354</f>
        <v>8.9249999999999989</v>
      </c>
      <c r="S354" s="884" t="s">
        <v>5</v>
      </c>
      <c r="T354" s="857" t="s">
        <v>368</v>
      </c>
      <c r="U354" s="78"/>
      <c r="V354" s="1314">
        <f t="shared" si="38"/>
        <v>244</v>
      </c>
      <c r="W354" s="938"/>
      <c r="X354" s="938"/>
      <c r="Y354" s="938"/>
      <c r="Z354" s="939"/>
    </row>
    <row r="355" spans="1:28" s="8" customFormat="1" ht="15">
      <c r="A355" s="516"/>
      <c r="B355" s="924"/>
      <c r="C355" s="1614" t="s">
        <v>1008</v>
      </c>
      <c r="D355" s="156"/>
      <c r="E355" s="86"/>
      <c r="F355" s="155"/>
      <c r="G355" s="85"/>
      <c r="H355" s="86"/>
      <c r="I355" s="87"/>
      <c r="J355" s="138"/>
      <c r="K355" s="137">
        <v>420</v>
      </c>
      <c r="L355" s="1343"/>
      <c r="M355" s="136">
        <v>1</v>
      </c>
      <c r="N355" s="135">
        <v>1</v>
      </c>
      <c r="O355" s="135">
        <v>0.2</v>
      </c>
      <c r="P355" s="134"/>
      <c r="Q355" s="133"/>
      <c r="R355" s="1366">
        <f t="shared" ref="R355" si="39">(K355*M355*N355*O355)*2</f>
        <v>168</v>
      </c>
      <c r="S355" s="225" t="s">
        <v>5</v>
      </c>
      <c r="T355" s="1367" t="s">
        <v>90</v>
      </c>
      <c r="U355" s="167"/>
      <c r="V355" s="1314">
        <f>V375</f>
        <v>244</v>
      </c>
      <c r="W355" s="938"/>
      <c r="X355" s="938"/>
      <c r="Y355" s="938"/>
      <c r="Z355" s="939"/>
    </row>
    <row r="356" spans="1:28" s="8" customFormat="1" ht="15">
      <c r="A356" s="516"/>
      <c r="B356" s="924"/>
      <c r="C356" s="1614" t="s">
        <v>1057</v>
      </c>
      <c r="D356" s="156">
        <v>0</v>
      </c>
      <c r="E356" s="86" t="s">
        <v>68</v>
      </c>
      <c r="F356" s="155">
        <v>0</v>
      </c>
      <c r="G356" s="85"/>
      <c r="H356" s="86"/>
      <c r="I356" s="87"/>
      <c r="J356" s="138"/>
      <c r="K356" s="137">
        <v>2</v>
      </c>
      <c r="L356" s="1343"/>
      <c r="M356" s="136">
        <v>2</v>
      </c>
      <c r="N356" s="135">
        <v>2.5</v>
      </c>
      <c r="O356" s="135">
        <v>0.2</v>
      </c>
      <c r="P356" s="134"/>
      <c r="Q356" s="133"/>
      <c r="R356" s="1366">
        <v>4</v>
      </c>
      <c r="S356" s="225" t="s">
        <v>5</v>
      </c>
      <c r="T356" s="1367" t="s">
        <v>90</v>
      </c>
      <c r="U356" s="167"/>
      <c r="V356" s="1314">
        <f t="shared" si="37"/>
        <v>244</v>
      </c>
      <c r="W356" s="938"/>
      <c r="X356" s="938"/>
      <c r="Y356" s="938"/>
      <c r="Z356" s="939"/>
    </row>
    <row r="357" spans="1:28" s="8" customFormat="1" ht="15">
      <c r="A357" s="516"/>
      <c r="B357" s="924"/>
      <c r="C357" s="1614" t="s">
        <v>1057</v>
      </c>
      <c r="D357" s="156">
        <v>1</v>
      </c>
      <c r="E357" s="86" t="s">
        <v>68</v>
      </c>
      <c r="F357" s="155">
        <v>11</v>
      </c>
      <c r="G357" s="85"/>
      <c r="H357" s="86"/>
      <c r="I357" s="87"/>
      <c r="J357" s="138"/>
      <c r="K357" s="137">
        <v>2</v>
      </c>
      <c r="L357" s="1343"/>
      <c r="M357" s="136">
        <v>2</v>
      </c>
      <c r="N357" s="135">
        <v>2.5</v>
      </c>
      <c r="O357" s="135">
        <v>0.2</v>
      </c>
      <c r="P357" s="134"/>
      <c r="Q357" s="133"/>
      <c r="R357" s="1366">
        <v>4</v>
      </c>
      <c r="S357" s="225" t="s">
        <v>5</v>
      </c>
      <c r="T357" s="1367" t="s">
        <v>90</v>
      </c>
      <c r="U357" s="167"/>
      <c r="V357" s="1314">
        <f t="shared" si="37"/>
        <v>244</v>
      </c>
      <c r="W357" s="938"/>
      <c r="X357" s="938"/>
      <c r="Y357" s="938"/>
      <c r="Z357" s="939"/>
    </row>
    <row r="358" spans="1:28" s="8" customFormat="1" ht="15">
      <c r="A358" s="516"/>
      <c r="B358" s="924"/>
      <c r="C358" s="1614" t="s">
        <v>1057</v>
      </c>
      <c r="D358" s="156">
        <v>2</v>
      </c>
      <c r="E358" s="86" t="s">
        <v>68</v>
      </c>
      <c r="F358" s="155">
        <v>17</v>
      </c>
      <c r="G358" s="85"/>
      <c r="H358" s="86"/>
      <c r="I358" s="87"/>
      <c r="J358" s="138"/>
      <c r="K358" s="137">
        <v>2</v>
      </c>
      <c r="L358" s="1343"/>
      <c r="M358" s="136">
        <v>2</v>
      </c>
      <c r="N358" s="135">
        <v>2.5</v>
      </c>
      <c r="O358" s="135">
        <v>0.2</v>
      </c>
      <c r="P358" s="134"/>
      <c r="Q358" s="133"/>
      <c r="R358" s="1366">
        <v>4</v>
      </c>
      <c r="S358" s="225" t="s">
        <v>5</v>
      </c>
      <c r="T358" s="1367" t="s">
        <v>90</v>
      </c>
      <c r="U358" s="167"/>
      <c r="V358" s="1314">
        <f t="shared" si="37"/>
        <v>244</v>
      </c>
      <c r="W358" s="938"/>
      <c r="X358" s="938"/>
      <c r="Y358" s="938"/>
      <c r="Z358" s="939"/>
    </row>
    <row r="359" spans="1:28" s="8" customFormat="1" ht="15">
      <c r="A359" s="516"/>
      <c r="B359" s="924"/>
      <c r="C359" s="1614" t="s">
        <v>1057</v>
      </c>
      <c r="D359" s="156">
        <v>4</v>
      </c>
      <c r="E359" s="86" t="s">
        <v>68</v>
      </c>
      <c r="F359" s="155">
        <v>7</v>
      </c>
      <c r="G359" s="85"/>
      <c r="H359" s="86"/>
      <c r="I359" s="87"/>
      <c r="J359" s="138"/>
      <c r="K359" s="137">
        <v>2</v>
      </c>
      <c r="L359" s="1343"/>
      <c r="M359" s="136">
        <v>2</v>
      </c>
      <c r="N359" s="135">
        <v>2.5</v>
      </c>
      <c r="O359" s="135">
        <v>0.2</v>
      </c>
      <c r="P359" s="134"/>
      <c r="Q359" s="133"/>
      <c r="R359" s="1366">
        <v>4</v>
      </c>
      <c r="S359" s="225" t="s">
        <v>5</v>
      </c>
      <c r="T359" s="1367" t="s">
        <v>90</v>
      </c>
      <c r="U359" s="167"/>
      <c r="V359" s="1314">
        <f t="shared" si="37"/>
        <v>244</v>
      </c>
      <c r="W359" s="938"/>
      <c r="X359" s="938"/>
      <c r="Y359" s="938"/>
      <c r="Z359" s="939"/>
    </row>
    <row r="360" spans="1:28" s="8" customFormat="1" ht="15">
      <c r="A360" s="516"/>
      <c r="B360" s="924"/>
      <c r="C360" s="1614" t="s">
        <v>1057</v>
      </c>
      <c r="D360" s="156">
        <v>5</v>
      </c>
      <c r="E360" s="86" t="s">
        <v>68</v>
      </c>
      <c r="F360" s="155">
        <v>16</v>
      </c>
      <c r="G360" s="85"/>
      <c r="H360" s="86"/>
      <c r="I360" s="87"/>
      <c r="J360" s="138"/>
      <c r="K360" s="137">
        <v>2</v>
      </c>
      <c r="L360" s="1343"/>
      <c r="M360" s="136">
        <v>2</v>
      </c>
      <c r="N360" s="135">
        <v>2.5</v>
      </c>
      <c r="O360" s="135">
        <v>0.2</v>
      </c>
      <c r="P360" s="134"/>
      <c r="Q360" s="133"/>
      <c r="R360" s="1366">
        <v>4</v>
      </c>
      <c r="S360" s="225" t="s">
        <v>5</v>
      </c>
      <c r="T360" s="1367" t="s">
        <v>90</v>
      </c>
      <c r="U360" s="167"/>
      <c r="V360" s="1314">
        <f t="shared" si="37"/>
        <v>244</v>
      </c>
      <c r="W360" s="938"/>
      <c r="X360" s="938"/>
      <c r="Y360" s="938"/>
      <c r="Z360" s="939"/>
    </row>
    <row r="361" spans="1:28" s="8" customFormat="1" ht="15">
      <c r="A361" s="516"/>
      <c r="B361" s="924"/>
      <c r="C361" s="1614" t="s">
        <v>1057</v>
      </c>
      <c r="D361" s="156">
        <v>7</v>
      </c>
      <c r="E361" s="86" t="s">
        <v>68</v>
      </c>
      <c r="F361" s="155">
        <v>4</v>
      </c>
      <c r="G361" s="85"/>
      <c r="H361" s="86"/>
      <c r="I361" s="87"/>
      <c r="J361" s="138"/>
      <c r="K361" s="137">
        <v>2</v>
      </c>
      <c r="L361" s="1343"/>
      <c r="M361" s="136">
        <v>2</v>
      </c>
      <c r="N361" s="135">
        <v>2.5</v>
      </c>
      <c r="O361" s="135">
        <v>0.2</v>
      </c>
      <c r="P361" s="134"/>
      <c r="Q361" s="133"/>
      <c r="R361" s="1366">
        <v>4</v>
      </c>
      <c r="S361" s="225" t="s">
        <v>5</v>
      </c>
      <c r="T361" s="1367" t="s">
        <v>90</v>
      </c>
      <c r="U361" s="167"/>
      <c r="V361" s="1314">
        <f t="shared" si="37"/>
        <v>244</v>
      </c>
      <c r="W361" s="938"/>
      <c r="X361" s="938"/>
      <c r="Y361" s="938"/>
      <c r="Z361" s="939"/>
    </row>
    <row r="362" spans="1:28" s="8" customFormat="1" ht="15">
      <c r="A362" s="516"/>
      <c r="B362" s="924"/>
      <c r="C362" s="1614" t="s">
        <v>1057</v>
      </c>
      <c r="D362" s="156">
        <v>8</v>
      </c>
      <c r="E362" s="86" t="s">
        <v>68</v>
      </c>
      <c r="F362" s="155">
        <v>12</v>
      </c>
      <c r="G362" s="85"/>
      <c r="H362" s="86"/>
      <c r="I362" s="87"/>
      <c r="J362" s="138"/>
      <c r="K362" s="137">
        <v>2</v>
      </c>
      <c r="L362" s="1343"/>
      <c r="M362" s="136">
        <v>2</v>
      </c>
      <c r="N362" s="135">
        <v>2.5</v>
      </c>
      <c r="O362" s="135">
        <v>0.2</v>
      </c>
      <c r="P362" s="134"/>
      <c r="Q362" s="133"/>
      <c r="R362" s="1366">
        <v>4</v>
      </c>
      <c r="S362" s="225" t="s">
        <v>5</v>
      </c>
      <c r="T362" s="1367" t="s">
        <v>90</v>
      </c>
      <c r="U362" s="167"/>
      <c r="V362" s="1314">
        <f t="shared" si="37"/>
        <v>244</v>
      </c>
      <c r="W362" s="938"/>
      <c r="X362" s="938"/>
      <c r="Y362" s="938"/>
      <c r="Z362" s="939"/>
    </row>
    <row r="363" spans="1:28" s="8" customFormat="1" ht="15">
      <c r="A363" s="516"/>
      <c r="B363" s="924"/>
      <c r="C363" s="1614" t="s">
        <v>1057</v>
      </c>
      <c r="D363" s="156">
        <v>10</v>
      </c>
      <c r="E363" s="86" t="s">
        <v>68</v>
      </c>
      <c r="F363" s="155">
        <v>2</v>
      </c>
      <c r="G363" s="85"/>
      <c r="H363" s="86"/>
      <c r="I363" s="87"/>
      <c r="J363" s="138"/>
      <c r="K363" s="137">
        <v>2</v>
      </c>
      <c r="L363" s="1343"/>
      <c r="M363" s="136">
        <v>2</v>
      </c>
      <c r="N363" s="135">
        <v>2.5</v>
      </c>
      <c r="O363" s="135">
        <v>0.2</v>
      </c>
      <c r="P363" s="134"/>
      <c r="Q363" s="133"/>
      <c r="R363" s="1366">
        <v>4</v>
      </c>
      <c r="S363" s="225" t="s">
        <v>5</v>
      </c>
      <c r="T363" s="1367" t="s">
        <v>90</v>
      </c>
      <c r="U363" s="167"/>
      <c r="V363" s="1314">
        <f t="shared" si="37"/>
        <v>244</v>
      </c>
      <c r="W363" s="938"/>
      <c r="X363" s="938"/>
      <c r="Y363" s="938"/>
      <c r="Z363" s="939"/>
    </row>
    <row r="364" spans="1:28" s="8" customFormat="1" ht="15">
      <c r="A364" s="516"/>
      <c r="B364" s="924"/>
      <c r="C364" s="1614" t="s">
        <v>1057</v>
      </c>
      <c r="D364" s="156">
        <v>14</v>
      </c>
      <c r="E364" s="86" t="s">
        <v>68</v>
      </c>
      <c r="F364" s="155">
        <v>5</v>
      </c>
      <c r="G364" s="85"/>
      <c r="H364" s="86"/>
      <c r="I364" s="87"/>
      <c r="J364" s="138"/>
      <c r="K364" s="137">
        <v>2</v>
      </c>
      <c r="L364" s="1343"/>
      <c r="M364" s="136">
        <v>2</v>
      </c>
      <c r="N364" s="135">
        <v>2.5</v>
      </c>
      <c r="O364" s="135">
        <v>0.2</v>
      </c>
      <c r="P364" s="134"/>
      <c r="Q364" s="133"/>
      <c r="R364" s="1366">
        <v>4</v>
      </c>
      <c r="S364" s="225" t="s">
        <v>5</v>
      </c>
      <c r="T364" s="1367" t="s">
        <v>90</v>
      </c>
      <c r="U364" s="167"/>
      <c r="V364" s="1314">
        <f t="shared" si="37"/>
        <v>244</v>
      </c>
      <c r="W364" s="938"/>
      <c r="X364" s="938"/>
      <c r="Y364" s="938"/>
      <c r="Z364" s="939"/>
    </row>
    <row r="365" spans="1:28" s="8" customFormat="1" ht="15">
      <c r="A365" s="516"/>
      <c r="B365" s="924"/>
      <c r="C365" s="1614" t="s">
        <v>1057</v>
      </c>
      <c r="D365" s="156">
        <v>15</v>
      </c>
      <c r="E365" s="86" t="s">
        <v>68</v>
      </c>
      <c r="F365" s="155">
        <v>13</v>
      </c>
      <c r="G365" s="85"/>
      <c r="H365" s="86"/>
      <c r="I365" s="87"/>
      <c r="J365" s="138"/>
      <c r="K365" s="137">
        <v>2</v>
      </c>
      <c r="L365" s="1343"/>
      <c r="M365" s="136">
        <v>2</v>
      </c>
      <c r="N365" s="135">
        <v>2.5</v>
      </c>
      <c r="O365" s="135">
        <v>0.2</v>
      </c>
      <c r="P365" s="134"/>
      <c r="Q365" s="133"/>
      <c r="R365" s="1366">
        <v>4</v>
      </c>
      <c r="S365" s="225" t="s">
        <v>5</v>
      </c>
      <c r="T365" s="1367" t="s">
        <v>90</v>
      </c>
      <c r="U365" s="167"/>
      <c r="V365" s="1314">
        <f t="shared" si="37"/>
        <v>244</v>
      </c>
      <c r="W365" s="938"/>
      <c r="X365" s="938"/>
      <c r="Y365" s="938"/>
      <c r="Z365" s="939"/>
    </row>
    <row r="366" spans="1:28" s="8" customFormat="1" ht="15">
      <c r="A366" s="516"/>
      <c r="B366" s="924"/>
      <c r="C366" s="1614" t="s">
        <v>1057</v>
      </c>
      <c r="D366" s="156">
        <v>17</v>
      </c>
      <c r="E366" s="86" t="s">
        <v>68</v>
      </c>
      <c r="F366" s="155">
        <v>0</v>
      </c>
      <c r="G366" s="85"/>
      <c r="H366" s="86"/>
      <c r="I366" s="87"/>
      <c r="J366" s="138"/>
      <c r="K366" s="137">
        <v>2</v>
      </c>
      <c r="L366" s="1343"/>
      <c r="M366" s="136">
        <v>2</v>
      </c>
      <c r="N366" s="135">
        <v>2.5</v>
      </c>
      <c r="O366" s="135">
        <v>0.2</v>
      </c>
      <c r="P366" s="134"/>
      <c r="Q366" s="133"/>
      <c r="R366" s="1366">
        <v>4</v>
      </c>
      <c r="S366" s="225" t="s">
        <v>5</v>
      </c>
      <c r="T366" s="1367" t="s">
        <v>90</v>
      </c>
      <c r="U366" s="167"/>
      <c r="V366" s="1314">
        <f t="shared" si="37"/>
        <v>244</v>
      </c>
      <c r="W366" s="938"/>
      <c r="X366" s="938"/>
      <c r="Y366" s="938"/>
      <c r="Z366" s="939"/>
    </row>
    <row r="367" spans="1:28" s="8" customFormat="1" ht="15">
      <c r="A367" s="516"/>
      <c r="B367" s="924"/>
      <c r="C367" s="1614" t="s">
        <v>1058</v>
      </c>
      <c r="D367" s="156">
        <v>100</v>
      </c>
      <c r="E367" s="86" t="s">
        <v>68</v>
      </c>
      <c r="F367" s="155">
        <v>0</v>
      </c>
      <c r="G367" s="85"/>
      <c r="H367" s="86"/>
      <c r="I367" s="87"/>
      <c r="J367" s="138"/>
      <c r="K367" s="137">
        <v>2</v>
      </c>
      <c r="L367" s="1343"/>
      <c r="M367" s="136">
        <v>2</v>
      </c>
      <c r="N367" s="135">
        <v>2.5</v>
      </c>
      <c r="O367" s="135">
        <v>0.2</v>
      </c>
      <c r="P367" s="134"/>
      <c r="Q367" s="133"/>
      <c r="R367" s="1366">
        <v>4</v>
      </c>
      <c r="S367" s="225" t="s">
        <v>5</v>
      </c>
      <c r="T367" s="1367" t="s">
        <v>90</v>
      </c>
      <c r="U367" s="167"/>
      <c r="V367" s="1314">
        <f t="shared" si="37"/>
        <v>244</v>
      </c>
      <c r="W367" s="938"/>
      <c r="X367" s="938"/>
      <c r="Y367" s="938"/>
      <c r="Z367" s="939"/>
    </row>
    <row r="368" spans="1:28" s="8" customFormat="1" ht="15">
      <c r="A368" s="516"/>
      <c r="B368" s="924"/>
      <c r="C368" s="1614" t="s">
        <v>1058</v>
      </c>
      <c r="D368" s="156">
        <v>102</v>
      </c>
      <c r="E368" s="86" t="s">
        <v>68</v>
      </c>
      <c r="F368" s="155">
        <v>10</v>
      </c>
      <c r="G368" s="85"/>
      <c r="H368" s="86"/>
      <c r="I368" s="87"/>
      <c r="J368" s="138"/>
      <c r="K368" s="137">
        <v>2</v>
      </c>
      <c r="L368" s="1343"/>
      <c r="M368" s="136">
        <v>2</v>
      </c>
      <c r="N368" s="135">
        <v>2.5</v>
      </c>
      <c r="O368" s="135">
        <v>0.2</v>
      </c>
      <c r="P368" s="134"/>
      <c r="Q368" s="133"/>
      <c r="R368" s="1366">
        <v>4</v>
      </c>
      <c r="S368" s="225" t="s">
        <v>5</v>
      </c>
      <c r="T368" s="1367" t="s">
        <v>90</v>
      </c>
      <c r="U368" s="167"/>
      <c r="V368" s="1314">
        <f t="shared" si="37"/>
        <v>244</v>
      </c>
      <c r="W368" s="938"/>
      <c r="X368" s="938"/>
      <c r="Y368" s="938"/>
      <c r="Z368" s="939"/>
    </row>
    <row r="369" spans="1:36" s="8" customFormat="1" ht="15">
      <c r="A369" s="516"/>
      <c r="B369" s="924"/>
      <c r="C369" s="1614" t="s">
        <v>1058</v>
      </c>
      <c r="D369" s="156">
        <v>104</v>
      </c>
      <c r="E369" s="86" t="s">
        <v>68</v>
      </c>
      <c r="F369" s="155">
        <v>8</v>
      </c>
      <c r="G369" s="85"/>
      <c r="H369" s="86"/>
      <c r="I369" s="87"/>
      <c r="J369" s="138"/>
      <c r="K369" s="137">
        <v>2</v>
      </c>
      <c r="L369" s="1343"/>
      <c r="M369" s="136">
        <v>2</v>
      </c>
      <c r="N369" s="135">
        <v>2.5</v>
      </c>
      <c r="O369" s="135">
        <v>0.2</v>
      </c>
      <c r="P369" s="134"/>
      <c r="Q369" s="133"/>
      <c r="R369" s="1366">
        <v>4</v>
      </c>
      <c r="S369" s="225" t="s">
        <v>5</v>
      </c>
      <c r="T369" s="1367" t="s">
        <v>90</v>
      </c>
      <c r="U369" s="167"/>
      <c r="V369" s="1314">
        <f t="shared" si="37"/>
        <v>244</v>
      </c>
      <c r="W369" s="938"/>
      <c r="X369" s="938"/>
      <c r="Y369" s="938"/>
      <c r="Z369" s="939"/>
    </row>
    <row r="370" spans="1:36" s="8" customFormat="1" ht="15">
      <c r="A370" s="516"/>
      <c r="B370" s="924"/>
      <c r="C370" s="1614" t="s">
        <v>1058</v>
      </c>
      <c r="D370" s="156">
        <v>106</v>
      </c>
      <c r="E370" s="86" t="s">
        <v>68</v>
      </c>
      <c r="F370" s="155">
        <v>5</v>
      </c>
      <c r="G370" s="85"/>
      <c r="H370" s="86"/>
      <c r="I370" s="87"/>
      <c r="J370" s="138"/>
      <c r="K370" s="137">
        <v>2</v>
      </c>
      <c r="L370" s="1343"/>
      <c r="M370" s="136">
        <v>2</v>
      </c>
      <c r="N370" s="135">
        <v>2.5</v>
      </c>
      <c r="O370" s="135">
        <v>0.2</v>
      </c>
      <c r="P370" s="134"/>
      <c r="Q370" s="133"/>
      <c r="R370" s="1366">
        <v>4</v>
      </c>
      <c r="S370" s="225" t="s">
        <v>5</v>
      </c>
      <c r="T370" s="1367" t="s">
        <v>90</v>
      </c>
      <c r="U370" s="167"/>
      <c r="V370" s="1314">
        <f t="shared" si="37"/>
        <v>244</v>
      </c>
      <c r="W370" s="938"/>
      <c r="X370" s="938"/>
      <c r="Y370" s="938"/>
      <c r="Z370" s="939"/>
    </row>
    <row r="371" spans="1:36" s="8" customFormat="1" ht="15">
      <c r="A371" s="516"/>
      <c r="B371" s="924"/>
      <c r="C371" s="1614" t="s">
        <v>1058</v>
      </c>
      <c r="D371" s="156">
        <v>107</v>
      </c>
      <c r="E371" s="86" t="s">
        <v>68</v>
      </c>
      <c r="F371" s="155">
        <v>10</v>
      </c>
      <c r="G371" s="85"/>
      <c r="H371" s="86"/>
      <c r="I371" s="87"/>
      <c r="J371" s="138"/>
      <c r="K371" s="137">
        <v>2</v>
      </c>
      <c r="L371" s="1343"/>
      <c r="M371" s="136">
        <v>2</v>
      </c>
      <c r="N371" s="135">
        <v>2.5</v>
      </c>
      <c r="O371" s="135">
        <v>0.2</v>
      </c>
      <c r="P371" s="134"/>
      <c r="Q371" s="133"/>
      <c r="R371" s="1366">
        <v>4</v>
      </c>
      <c r="S371" s="225" t="s">
        <v>5</v>
      </c>
      <c r="T371" s="1367" t="s">
        <v>90</v>
      </c>
      <c r="U371" s="167"/>
      <c r="V371" s="1314">
        <f t="shared" si="37"/>
        <v>244</v>
      </c>
      <c r="W371" s="938"/>
      <c r="X371" s="938"/>
      <c r="Y371" s="938"/>
      <c r="Z371" s="939"/>
    </row>
    <row r="372" spans="1:36" s="8" customFormat="1" ht="15">
      <c r="A372" s="516"/>
      <c r="B372" s="924"/>
      <c r="C372" s="1614" t="s">
        <v>1058</v>
      </c>
      <c r="D372" s="156">
        <v>109</v>
      </c>
      <c r="E372" s="86" t="s">
        <v>68</v>
      </c>
      <c r="F372" s="155">
        <v>0</v>
      </c>
      <c r="G372" s="85"/>
      <c r="H372" s="86"/>
      <c r="I372" s="87"/>
      <c r="J372" s="138"/>
      <c r="K372" s="137">
        <v>2</v>
      </c>
      <c r="L372" s="1343"/>
      <c r="M372" s="136">
        <v>2</v>
      </c>
      <c r="N372" s="135">
        <v>2.5</v>
      </c>
      <c r="O372" s="135">
        <v>0.2</v>
      </c>
      <c r="P372" s="134"/>
      <c r="Q372" s="133"/>
      <c r="R372" s="1366">
        <v>4</v>
      </c>
      <c r="S372" s="225" t="s">
        <v>5</v>
      </c>
      <c r="T372" s="1367" t="s">
        <v>90</v>
      </c>
      <c r="U372" s="167"/>
      <c r="V372" s="1314">
        <f t="shared" si="37"/>
        <v>244</v>
      </c>
      <c r="W372" s="938"/>
      <c r="X372" s="938"/>
      <c r="Y372" s="938"/>
      <c r="Z372" s="939"/>
    </row>
    <row r="373" spans="1:36" s="8" customFormat="1" ht="15">
      <c r="A373" s="516"/>
      <c r="B373" s="924"/>
      <c r="C373" s="1614" t="s">
        <v>1058</v>
      </c>
      <c r="D373" s="156">
        <v>111</v>
      </c>
      <c r="E373" s="86" t="s">
        <v>68</v>
      </c>
      <c r="F373" s="155">
        <v>0</v>
      </c>
      <c r="G373" s="85"/>
      <c r="H373" s="86"/>
      <c r="I373" s="87"/>
      <c r="J373" s="138"/>
      <c r="K373" s="137">
        <v>2</v>
      </c>
      <c r="L373" s="1343"/>
      <c r="M373" s="136">
        <v>2</v>
      </c>
      <c r="N373" s="135">
        <v>2.5</v>
      </c>
      <c r="O373" s="135">
        <v>0.2</v>
      </c>
      <c r="P373" s="134"/>
      <c r="Q373" s="133"/>
      <c r="R373" s="1366">
        <v>4</v>
      </c>
      <c r="S373" s="225" t="s">
        <v>5</v>
      </c>
      <c r="T373" s="1367" t="s">
        <v>90</v>
      </c>
      <c r="U373" s="167"/>
      <c r="V373" s="1314">
        <f t="shared" si="37"/>
        <v>244</v>
      </c>
      <c r="W373" s="938"/>
      <c r="X373" s="938"/>
      <c r="Y373" s="938"/>
      <c r="Z373" s="939"/>
    </row>
    <row r="374" spans="1:36" s="8" customFormat="1" ht="15">
      <c r="A374" s="516"/>
      <c r="B374" s="925"/>
      <c r="C374" s="127" t="s">
        <v>1058</v>
      </c>
      <c r="D374" s="957">
        <v>112</v>
      </c>
      <c r="E374" s="125" t="s">
        <v>68</v>
      </c>
      <c r="F374" s="958">
        <v>0</v>
      </c>
      <c r="G374" s="126"/>
      <c r="H374" s="125"/>
      <c r="I374" s="124"/>
      <c r="J374" s="123"/>
      <c r="K374" s="122">
        <v>2</v>
      </c>
      <c r="L374" s="119"/>
      <c r="M374" s="121">
        <v>2</v>
      </c>
      <c r="N374" s="120">
        <v>2.5</v>
      </c>
      <c r="O374" s="120">
        <v>0.2</v>
      </c>
      <c r="P374" s="119"/>
      <c r="Q374" s="118"/>
      <c r="R374" s="118">
        <v>4</v>
      </c>
      <c r="S374" s="246" t="s">
        <v>5</v>
      </c>
      <c r="T374" s="960" t="s">
        <v>90</v>
      </c>
      <c r="U374" s="158"/>
      <c r="V374" s="1314">
        <f t="shared" si="37"/>
        <v>244</v>
      </c>
      <c r="W374" s="938"/>
      <c r="X374" s="938"/>
      <c r="Y374" s="938"/>
      <c r="Z374" s="939"/>
    </row>
    <row r="375" spans="1:36" s="8" customFormat="1" ht="15.75" customHeight="1">
      <c r="A375" s="516"/>
      <c r="B375" s="877"/>
      <c r="C375" s="113"/>
      <c r="D375" s="2459" t="s">
        <v>18</v>
      </c>
      <c r="E375" s="2460"/>
      <c r="F375" s="2460"/>
      <c r="G375" s="2460"/>
      <c r="H375" s="2460"/>
      <c r="I375" s="2461"/>
      <c r="J375" s="2462">
        <f>VLOOKUP(A377,'12 - FINANCEIRA'!_xlnm.Print_Area,6,FALSE)</f>
        <v>300</v>
      </c>
      <c r="K375" s="2463"/>
      <c r="L375" s="1744" t="str">
        <f>VLOOKUP(A377,'12 - FINANCEIRA'!_xlnm.Print_Area,4,FALSE)</f>
        <v>m³</v>
      </c>
      <c r="M375" s="2464" t="s">
        <v>19</v>
      </c>
      <c r="N375" s="2465"/>
      <c r="O375" s="2465"/>
      <c r="P375" s="2465"/>
      <c r="Q375" s="2466"/>
      <c r="R375" s="1154">
        <f>SUM(R352:R374)</f>
        <v>298.01499999999999</v>
      </c>
      <c r="S375" s="1745" t="str">
        <f>L375</f>
        <v>m³</v>
      </c>
      <c r="T375" s="680"/>
      <c r="U375" s="663"/>
      <c r="V375" s="1314">
        <f t="shared" si="37"/>
        <v>244</v>
      </c>
      <c r="AB375" s="15"/>
    </row>
    <row r="376" spans="1:36" s="8" customFormat="1" ht="15.75" customHeight="1">
      <c r="A376" s="516"/>
      <c r="B376" s="877"/>
      <c r="C376" s="681"/>
      <c r="D376" s="2444" t="s">
        <v>20</v>
      </c>
      <c r="E376" s="2445"/>
      <c r="F376" s="2445"/>
      <c r="G376" s="2445"/>
      <c r="H376" s="2445"/>
      <c r="I376" s="2446"/>
      <c r="J376" s="2450">
        <f>R375/J375</f>
        <v>0.99338333333333328</v>
      </c>
      <c r="K376" s="2451"/>
      <c r="L376" s="2454"/>
      <c r="M376" s="2441" t="s">
        <v>21</v>
      </c>
      <c r="N376" s="2442"/>
      <c r="O376" s="2442"/>
      <c r="P376" s="2442"/>
      <c r="Q376" s="2443"/>
      <c r="R376" s="878">
        <f>VLOOKUP(A377,'12 - FINANCEIRA'!_xlnm.Print_Area,8,FALSE)</f>
        <v>54.015000000000001</v>
      </c>
      <c r="S376" s="879" t="str">
        <f>L375</f>
        <v>m³</v>
      </c>
      <c r="T376" s="680"/>
      <c r="U376" s="663"/>
      <c r="V376" s="1314">
        <f t="shared" si="37"/>
        <v>244</v>
      </c>
      <c r="AB376" s="15"/>
    </row>
    <row r="377" spans="1:36" s="8" customFormat="1" ht="15.75" customHeight="1">
      <c r="A377" s="516" t="s">
        <v>489</v>
      </c>
      <c r="B377" s="1868"/>
      <c r="C377" s="1869"/>
      <c r="D377" s="2459"/>
      <c r="E377" s="2467"/>
      <c r="F377" s="2467"/>
      <c r="G377" s="2467"/>
      <c r="H377" s="2467"/>
      <c r="I377" s="2461"/>
      <c r="J377" s="2468"/>
      <c r="K377" s="2469"/>
      <c r="L377" s="2470"/>
      <c r="M377" s="2441" t="s">
        <v>22</v>
      </c>
      <c r="N377" s="2442"/>
      <c r="O377" s="2442"/>
      <c r="P377" s="2442"/>
      <c r="Q377" s="2443"/>
      <c r="R377" s="878">
        <f>R375-R376</f>
        <v>244</v>
      </c>
      <c r="S377" s="879" t="str">
        <f>L375</f>
        <v>m³</v>
      </c>
      <c r="T377" s="1870"/>
      <c r="U377" s="1871"/>
      <c r="V377" s="1314">
        <f>R377</f>
        <v>244</v>
      </c>
      <c r="AB377" s="15"/>
    </row>
    <row r="378" spans="1:36" s="8" customFormat="1" ht="15.75" hidden="1">
      <c r="A378" s="516"/>
      <c r="B378" s="523"/>
      <c r="C378" s="524"/>
      <c r="D378" s="526"/>
      <c r="E378" s="526"/>
      <c r="F378" s="526"/>
      <c r="G378" s="525"/>
      <c r="H378" s="525"/>
      <c r="I378" s="525"/>
      <c r="J378" s="527"/>
      <c r="K378" s="528"/>
      <c r="L378" s="529"/>
      <c r="M378" s="530"/>
      <c r="N378" s="530"/>
      <c r="O378" s="530"/>
      <c r="P378" s="530"/>
      <c r="Q378" s="530"/>
      <c r="R378" s="531"/>
      <c r="S378" s="532"/>
      <c r="T378" s="533"/>
      <c r="U378" s="534"/>
      <c r="V378" s="1658">
        <f>SUM(V350:V377)</f>
        <v>6832</v>
      </c>
      <c r="AB378" s="15"/>
    </row>
    <row r="379" spans="1:36" s="497" customFormat="1" ht="15.75">
      <c r="A379" s="495"/>
      <c r="B379" s="2423" t="str">
        <f>VLOOKUP(A387,'12 - FINANCEIRA'!_xlnm.Print_Area,1,FALSE)</f>
        <v>2.4.2</v>
      </c>
      <c r="C379" s="2421" t="str">
        <f>VLOOKUP(A387,'12 - FINANCEIRA'!_xlnm.Print_Area,3,FALSE)</f>
        <v>Remoção e reassentamento de paralelepípedos, inclusive perdas em Vias Urbanas</v>
      </c>
      <c r="D379" s="2479" t="s">
        <v>97</v>
      </c>
      <c r="E379" s="2480"/>
      <c r="F379" s="2480"/>
      <c r="G379" s="2480"/>
      <c r="H379" s="2480"/>
      <c r="I379" s="2481"/>
      <c r="J379" s="2416" t="s">
        <v>98</v>
      </c>
      <c r="K379" s="2416" t="s">
        <v>102</v>
      </c>
      <c r="L379" s="2416" t="s">
        <v>103</v>
      </c>
      <c r="M379" s="2416" t="s">
        <v>228</v>
      </c>
      <c r="N379" s="2489" t="s">
        <v>229</v>
      </c>
      <c r="O379" s="2416" t="s">
        <v>107</v>
      </c>
      <c r="P379" s="496" t="s">
        <v>153</v>
      </c>
      <c r="Q379" s="2416" t="s">
        <v>16</v>
      </c>
      <c r="R379" s="2425" t="s">
        <v>2</v>
      </c>
      <c r="S379" s="2416" t="s">
        <v>99</v>
      </c>
      <c r="T379" s="2416" t="s">
        <v>17</v>
      </c>
      <c r="U379" s="2428" t="s">
        <v>362</v>
      </c>
      <c r="V379" s="870">
        <f t="shared" ref="V379:V386" si="40">V380</f>
        <v>68.634999999999991</v>
      </c>
      <c r="W379" s="26"/>
      <c r="X379" s="26"/>
      <c r="Y379" s="26"/>
      <c r="Z379" s="27"/>
      <c r="AA379" s="9"/>
      <c r="AB379" s="9"/>
      <c r="AC379" s="9"/>
      <c r="AD379" s="9"/>
      <c r="AE379" s="9"/>
      <c r="AF379" s="9"/>
      <c r="AG379" s="9"/>
      <c r="AH379" s="9"/>
      <c r="AI379" s="9"/>
      <c r="AJ379" s="9"/>
    </row>
    <row r="380" spans="1:36" s="497" customFormat="1" ht="15.75">
      <c r="A380" s="495"/>
      <c r="B380" s="2471" t="e">
        <f>LEFT(#REF!,5)</f>
        <v>#REF!</v>
      </c>
      <c r="C380" s="2422" t="e">
        <f>VLOOKUP(LEFT(#REF!,5),'12 - FINANCEIRA'!_xlnm.Print_Area,2,FALSE)</f>
        <v>#REF!</v>
      </c>
      <c r="D380" s="2430" t="s">
        <v>14</v>
      </c>
      <c r="E380" s="2431"/>
      <c r="F380" s="2432"/>
      <c r="G380" s="2433" t="s">
        <v>15</v>
      </c>
      <c r="H380" s="2434"/>
      <c r="I380" s="2435"/>
      <c r="J380" s="2417"/>
      <c r="K380" s="2417"/>
      <c r="L380" s="2417"/>
      <c r="M380" s="2417"/>
      <c r="N380" s="2494"/>
      <c r="O380" s="2417"/>
      <c r="P380" s="498" t="s">
        <v>104</v>
      </c>
      <c r="Q380" s="2417"/>
      <c r="R380" s="2473"/>
      <c r="S380" s="2417"/>
      <c r="T380" s="2417"/>
      <c r="U380" s="2429"/>
      <c r="V380" s="870">
        <f t="shared" si="40"/>
        <v>68.634999999999991</v>
      </c>
      <c r="W380" s="26"/>
      <c r="X380" s="26"/>
      <c r="Y380" s="26"/>
      <c r="Z380" s="27"/>
      <c r="AA380" s="9"/>
      <c r="AB380" s="9"/>
      <c r="AC380" s="9"/>
      <c r="AD380" s="9"/>
      <c r="AE380" s="9"/>
      <c r="AF380" s="9"/>
      <c r="AG380" s="9"/>
      <c r="AH380" s="9"/>
      <c r="AI380" s="9"/>
      <c r="AJ380" s="9"/>
    </row>
    <row r="381" spans="1:36" s="9" customFormat="1" ht="30">
      <c r="A381" s="944"/>
      <c r="B381" s="922"/>
      <c r="C381" s="79" t="s">
        <v>879</v>
      </c>
      <c r="D381" s="156">
        <v>100</v>
      </c>
      <c r="E381" s="86" t="s">
        <v>68</v>
      </c>
      <c r="F381" s="155">
        <v>0</v>
      </c>
      <c r="G381" s="156">
        <v>113</v>
      </c>
      <c r="H381" s="86" t="s">
        <v>68</v>
      </c>
      <c r="I381" s="155">
        <v>14.75</v>
      </c>
      <c r="J381" s="138" t="s">
        <v>105</v>
      </c>
      <c r="K381" s="137"/>
      <c r="L381" s="134"/>
      <c r="M381" s="136"/>
      <c r="N381" s="970">
        <v>2393.6</v>
      </c>
      <c r="O381" s="135"/>
      <c r="P381" s="134"/>
      <c r="Q381" s="225"/>
      <c r="R381" s="502">
        <f>TRUNC(N381/2,3)</f>
        <v>1196.8</v>
      </c>
      <c r="S381" s="841" t="s">
        <v>7</v>
      </c>
      <c r="T381" s="262" t="s">
        <v>90</v>
      </c>
      <c r="U381" s="956" t="s">
        <v>909</v>
      </c>
      <c r="V381" s="870">
        <f t="shared" si="40"/>
        <v>68.634999999999991</v>
      </c>
      <c r="W381" s="26"/>
      <c r="X381" s="26"/>
      <c r="Y381" s="26"/>
      <c r="Z381" s="27"/>
      <c r="AA381" s="41"/>
      <c r="AB381" s="42"/>
    </row>
    <row r="382" spans="1:36" s="9" customFormat="1" ht="30">
      <c r="A382" s="944"/>
      <c r="B382" s="922"/>
      <c r="C382" s="79" t="s">
        <v>880</v>
      </c>
      <c r="D382" s="962">
        <v>0</v>
      </c>
      <c r="E382" s="963" t="s">
        <v>68</v>
      </c>
      <c r="F382" s="964">
        <v>0</v>
      </c>
      <c r="G382" s="962">
        <v>17</v>
      </c>
      <c r="H382" s="963" t="s">
        <v>68</v>
      </c>
      <c r="I382" s="964">
        <v>4</v>
      </c>
      <c r="J382" s="156" t="s">
        <v>105</v>
      </c>
      <c r="K382" s="137"/>
      <c r="L382" s="134"/>
      <c r="M382" s="136"/>
      <c r="N382" s="970">
        <v>1978.28</v>
      </c>
      <c r="O382" s="135"/>
      <c r="P382" s="134"/>
      <c r="Q382" s="225"/>
      <c r="R382" s="508">
        <v>760.47</v>
      </c>
      <c r="S382" s="509" t="s">
        <v>7</v>
      </c>
      <c r="T382" s="262" t="s">
        <v>90</v>
      </c>
      <c r="U382" s="956" t="s">
        <v>909</v>
      </c>
      <c r="V382" s="870">
        <f t="shared" si="40"/>
        <v>68.634999999999991</v>
      </c>
      <c r="W382" s="26"/>
      <c r="X382" s="26"/>
      <c r="Y382" s="26"/>
      <c r="Z382" s="27"/>
      <c r="AA382" s="41"/>
      <c r="AB382" s="42"/>
    </row>
    <row r="383" spans="1:36" s="8" customFormat="1" ht="15">
      <c r="A383" s="516"/>
      <c r="B383" s="922"/>
      <c r="C383" s="58"/>
      <c r="D383" s="82"/>
      <c r="E383" s="44"/>
      <c r="F383" s="83"/>
      <c r="G383" s="82"/>
      <c r="H383" s="44"/>
      <c r="I383" s="83"/>
      <c r="J383" s="82"/>
      <c r="K383" s="47"/>
      <c r="L383" s="48"/>
      <c r="M383" s="49"/>
      <c r="N383" s="1147"/>
      <c r="O383" s="50"/>
      <c r="P383" s="48"/>
      <c r="Q383" s="53"/>
      <c r="R383" s="887"/>
      <c r="S383" s="180"/>
      <c r="T383" s="90"/>
      <c r="U383" s="39"/>
      <c r="V383" s="870">
        <f t="shared" si="40"/>
        <v>68.634999999999991</v>
      </c>
      <c r="W383" s="938"/>
      <c r="X383" s="938"/>
      <c r="Y383" s="938"/>
      <c r="Z383" s="939"/>
    </row>
    <row r="384" spans="1:36" s="8" customFormat="1" ht="15">
      <c r="A384" s="516"/>
      <c r="B384" s="59"/>
      <c r="C384" s="60"/>
      <c r="D384" s="82"/>
      <c r="E384" s="44"/>
      <c r="F384" s="83"/>
      <c r="G384" s="43"/>
      <c r="H384" s="44"/>
      <c r="I384" s="45"/>
      <c r="J384" s="46"/>
      <c r="K384" s="47"/>
      <c r="L384" s="48"/>
      <c r="M384" s="49"/>
      <c r="N384" s="50"/>
      <c r="O384" s="50"/>
      <c r="P384" s="48"/>
      <c r="Q384" s="53"/>
      <c r="R384" s="517"/>
      <c r="S384" s="54"/>
      <c r="T384" s="518"/>
      <c r="U384" s="71"/>
      <c r="V384" s="870">
        <f t="shared" si="40"/>
        <v>68.634999999999991</v>
      </c>
      <c r="AB384" s="15"/>
    </row>
    <row r="385" spans="1:36" s="8" customFormat="1" ht="15.75">
      <c r="A385" s="516"/>
      <c r="B385" s="877"/>
      <c r="C385" s="113"/>
      <c r="D385" s="2436" t="s">
        <v>18</v>
      </c>
      <c r="E385" s="2437"/>
      <c r="F385" s="2437"/>
      <c r="G385" s="2437"/>
      <c r="H385" s="2437"/>
      <c r="I385" s="2438"/>
      <c r="J385" s="2439">
        <f>VLOOKUP(A387,'12 - FINANCEIRA'!_xlnm.Print_Area,6,FALSE)</f>
        <v>1957.27</v>
      </c>
      <c r="K385" s="2440"/>
      <c r="L385" s="519" t="str">
        <f>VLOOKUP(A387,'12 - FINANCEIRA'!_xlnm.Print_Area,4,FALSE)</f>
        <v>m²</v>
      </c>
      <c r="M385" s="2441" t="s">
        <v>19</v>
      </c>
      <c r="N385" s="2442"/>
      <c r="O385" s="2442"/>
      <c r="P385" s="2442"/>
      <c r="Q385" s="2443"/>
      <c r="R385" s="878">
        <f>SUM(R381:R384)</f>
        <v>1957.27</v>
      </c>
      <c r="S385" s="520" t="str">
        <f>L385</f>
        <v>m²</v>
      </c>
      <c r="T385" s="680"/>
      <c r="U385" s="663"/>
      <c r="V385" s="870">
        <f t="shared" si="40"/>
        <v>68.634999999999991</v>
      </c>
      <c r="AB385" s="15"/>
    </row>
    <row r="386" spans="1:36" s="8" customFormat="1" ht="15.75">
      <c r="A386" s="516"/>
      <c r="B386" s="877"/>
      <c r="C386" s="681"/>
      <c r="D386" s="2444" t="s">
        <v>20</v>
      </c>
      <c r="E386" s="2445"/>
      <c r="F386" s="2445"/>
      <c r="G386" s="2445"/>
      <c r="H386" s="2445"/>
      <c r="I386" s="2446"/>
      <c r="J386" s="2450">
        <f>R385/J385</f>
        <v>1</v>
      </c>
      <c r="K386" s="2451"/>
      <c r="L386" s="2454"/>
      <c r="M386" s="2441" t="s">
        <v>21</v>
      </c>
      <c r="N386" s="2442"/>
      <c r="O386" s="2442"/>
      <c r="P386" s="2442"/>
      <c r="Q386" s="2443"/>
      <c r="R386" s="878">
        <f>VLOOKUP(A387,'12 - FINANCEIRA'!_xlnm.Print_Area,8,FALSE)</f>
        <v>1888.635</v>
      </c>
      <c r="S386" s="879" t="str">
        <f>L385</f>
        <v>m²</v>
      </c>
      <c r="T386" s="680"/>
      <c r="U386" s="663"/>
      <c r="V386" s="870">
        <f t="shared" si="40"/>
        <v>68.634999999999991</v>
      </c>
      <c r="AB386" s="15"/>
    </row>
    <row r="387" spans="1:36" s="8" customFormat="1" ht="15.75">
      <c r="A387" s="516" t="s">
        <v>490</v>
      </c>
      <c r="B387" s="877"/>
      <c r="C387" s="113"/>
      <c r="D387" s="2447"/>
      <c r="E387" s="2448"/>
      <c r="F387" s="2448"/>
      <c r="G387" s="2448"/>
      <c r="H387" s="2448"/>
      <c r="I387" s="2449"/>
      <c r="J387" s="2452"/>
      <c r="K387" s="2453"/>
      <c r="L387" s="2455"/>
      <c r="M387" s="2456" t="s">
        <v>22</v>
      </c>
      <c r="N387" s="2457"/>
      <c r="O387" s="2457"/>
      <c r="P387" s="2457"/>
      <c r="Q387" s="2458"/>
      <c r="R387" s="521">
        <f>R385-R386</f>
        <v>68.634999999999991</v>
      </c>
      <c r="S387" s="522" t="str">
        <f>L385</f>
        <v>m²</v>
      </c>
      <c r="T387" s="680"/>
      <c r="U387" s="663"/>
      <c r="V387" s="870">
        <f>R387</f>
        <v>68.634999999999991</v>
      </c>
      <c r="AB387" s="15"/>
    </row>
    <row r="388" spans="1:36" s="8" customFormat="1" ht="15.75">
      <c r="A388" s="516"/>
      <c r="B388" s="523"/>
      <c r="C388" s="524"/>
      <c r="D388" s="526"/>
      <c r="E388" s="526"/>
      <c r="F388" s="526"/>
      <c r="G388" s="525"/>
      <c r="H388" s="525"/>
      <c r="I388" s="525"/>
      <c r="J388" s="527"/>
      <c r="K388" s="528"/>
      <c r="L388" s="529"/>
      <c r="M388" s="530"/>
      <c r="N388" s="530"/>
      <c r="O388" s="530"/>
      <c r="P388" s="530"/>
      <c r="Q388" s="530"/>
      <c r="R388" s="531"/>
      <c r="S388" s="532"/>
      <c r="T388" s="533"/>
      <c r="U388" s="534"/>
      <c r="V388" s="871">
        <f>SUM(V379:V387)</f>
        <v>617.71499999999992</v>
      </c>
      <c r="AB388" s="15"/>
    </row>
    <row r="389" spans="1:36" s="497" customFormat="1" ht="15.75" hidden="1">
      <c r="A389" s="495"/>
      <c r="B389" s="2423" t="str">
        <f>VLOOKUP(A397,'12 - FINANCEIRA'!_xlnm.Print_Area,1,FALSE)</f>
        <v>2.4.3</v>
      </c>
      <c r="C389" s="2421" t="str">
        <f>VLOOKUP(A397,'12 - FINANCEIRA'!_xlnm.Print_Area,3,FALSE)</f>
        <v>Demolição e remoção de pavimento asfáltico</v>
      </c>
      <c r="D389" s="2479" t="s">
        <v>97</v>
      </c>
      <c r="E389" s="2480"/>
      <c r="F389" s="2480"/>
      <c r="G389" s="2480"/>
      <c r="H389" s="2480"/>
      <c r="I389" s="2481"/>
      <c r="J389" s="2416" t="s">
        <v>98</v>
      </c>
      <c r="K389" s="2416" t="s">
        <v>102</v>
      </c>
      <c r="L389" s="2416" t="s">
        <v>103</v>
      </c>
      <c r="M389" s="2416" t="s">
        <v>228</v>
      </c>
      <c r="N389" s="2416" t="s">
        <v>229</v>
      </c>
      <c r="O389" s="2416" t="s">
        <v>107</v>
      </c>
      <c r="P389" s="496" t="s">
        <v>153</v>
      </c>
      <c r="Q389" s="2416" t="s">
        <v>16</v>
      </c>
      <c r="R389" s="2425" t="s">
        <v>2</v>
      </c>
      <c r="S389" s="2416" t="s">
        <v>99</v>
      </c>
      <c r="T389" s="2416" t="s">
        <v>17</v>
      </c>
      <c r="U389" s="2428" t="s">
        <v>362</v>
      </c>
      <c r="V389" s="870">
        <f t="shared" ref="V389:V396" si="41">V390</f>
        <v>0</v>
      </c>
      <c r="W389" s="26"/>
      <c r="X389" s="26"/>
      <c r="Y389" s="26"/>
      <c r="Z389" s="27"/>
      <c r="AA389" s="9"/>
      <c r="AB389" s="9"/>
      <c r="AC389" s="9"/>
      <c r="AD389" s="9"/>
      <c r="AE389" s="9"/>
      <c r="AF389" s="9"/>
      <c r="AG389" s="9"/>
      <c r="AH389" s="9"/>
      <c r="AI389" s="9"/>
      <c r="AJ389" s="9"/>
    </row>
    <row r="390" spans="1:36" s="497" customFormat="1" ht="15.75" hidden="1">
      <c r="A390" s="495"/>
      <c r="B390" s="2471" t="e">
        <f>LEFT(#REF!,5)</f>
        <v>#REF!</v>
      </c>
      <c r="C390" s="2472" t="e">
        <f>VLOOKUP(LEFT(#REF!,5),'12 - FINANCEIRA'!_xlnm.Print_Area,2,FALSE)</f>
        <v>#REF!</v>
      </c>
      <c r="D390" s="2430" t="s">
        <v>14</v>
      </c>
      <c r="E390" s="2431"/>
      <c r="F390" s="2432"/>
      <c r="G390" s="2433" t="s">
        <v>15</v>
      </c>
      <c r="H390" s="2434"/>
      <c r="I390" s="2435"/>
      <c r="J390" s="2427"/>
      <c r="K390" s="2427"/>
      <c r="L390" s="2427"/>
      <c r="M390" s="2427"/>
      <c r="N390" s="2427"/>
      <c r="O390" s="2427"/>
      <c r="P390" s="498" t="s">
        <v>104</v>
      </c>
      <c r="Q390" s="2427"/>
      <c r="R390" s="2426"/>
      <c r="S390" s="2427"/>
      <c r="T390" s="2427"/>
      <c r="U390" s="2429"/>
      <c r="V390" s="870">
        <f t="shared" si="41"/>
        <v>0</v>
      </c>
      <c r="W390" s="26"/>
      <c r="X390" s="26"/>
      <c r="Y390" s="26"/>
      <c r="Z390" s="27"/>
      <c r="AA390" s="9"/>
      <c r="AB390" s="9"/>
      <c r="AC390" s="9"/>
      <c r="AD390" s="9"/>
      <c r="AE390" s="9"/>
      <c r="AF390" s="9"/>
      <c r="AG390" s="9"/>
      <c r="AH390" s="9"/>
      <c r="AI390" s="9"/>
      <c r="AJ390" s="9"/>
    </row>
    <row r="391" spans="1:36" s="9" customFormat="1" ht="15" hidden="1">
      <c r="A391" s="944"/>
      <c r="B391" s="922"/>
      <c r="C391" s="58"/>
      <c r="D391" s="82"/>
      <c r="E391" s="44"/>
      <c r="F391" s="83"/>
      <c r="G391" s="43"/>
      <c r="H391" s="44"/>
      <c r="I391" s="45"/>
      <c r="J391" s="46"/>
      <c r="K391" s="47"/>
      <c r="L391" s="48"/>
      <c r="M391" s="49"/>
      <c r="N391" s="211"/>
      <c r="O391" s="50"/>
      <c r="P391" s="48"/>
      <c r="Q391" s="209"/>
      <c r="R391" s="535"/>
      <c r="S391" s="876"/>
      <c r="T391" s="90"/>
      <c r="U391" s="39"/>
      <c r="V391" s="870">
        <f t="shared" si="41"/>
        <v>0</v>
      </c>
      <c r="W391" s="26"/>
      <c r="X391" s="26"/>
      <c r="Y391" s="26"/>
      <c r="Z391" s="27"/>
      <c r="AA391" s="41"/>
      <c r="AB391" s="42"/>
    </row>
    <row r="392" spans="1:36" s="9" customFormat="1" ht="15" hidden="1">
      <c r="A392" s="944"/>
      <c r="B392" s="922"/>
      <c r="C392" s="58"/>
      <c r="D392" s="82"/>
      <c r="E392" s="44"/>
      <c r="F392" s="83"/>
      <c r="G392" s="43"/>
      <c r="H392" s="44"/>
      <c r="I392" s="45"/>
      <c r="J392" s="46"/>
      <c r="K392" s="47"/>
      <c r="L392" s="48"/>
      <c r="M392" s="49"/>
      <c r="N392" s="211"/>
      <c r="O392" s="50"/>
      <c r="P392" s="48"/>
      <c r="Q392" s="209"/>
      <c r="R392" s="168"/>
      <c r="S392" s="536"/>
      <c r="T392" s="90"/>
      <c r="U392" s="39"/>
      <c r="V392" s="870">
        <f t="shared" si="41"/>
        <v>0</v>
      </c>
      <c r="W392" s="26"/>
      <c r="X392" s="26"/>
      <c r="Y392" s="26"/>
      <c r="Z392" s="27"/>
      <c r="AA392" s="41"/>
      <c r="AB392" s="42"/>
    </row>
    <row r="393" spans="1:36" s="8" customFormat="1" ht="15" hidden="1">
      <c r="A393" s="516"/>
      <c r="B393" s="922"/>
      <c r="C393" s="58"/>
      <c r="D393" s="82"/>
      <c r="E393" s="44"/>
      <c r="F393" s="83"/>
      <c r="G393" s="43"/>
      <c r="H393" s="44"/>
      <c r="I393" s="45"/>
      <c r="J393" s="46"/>
      <c r="K393" s="47"/>
      <c r="L393" s="48"/>
      <c r="M393" s="49"/>
      <c r="N393" s="50"/>
      <c r="O393" s="50"/>
      <c r="P393" s="48"/>
      <c r="Q393" s="53"/>
      <c r="R393" s="887"/>
      <c r="S393" s="180"/>
      <c r="T393" s="90"/>
      <c r="U393" s="39"/>
      <c r="V393" s="870">
        <f t="shared" si="41"/>
        <v>0</v>
      </c>
      <c r="W393" s="938"/>
      <c r="X393" s="938"/>
      <c r="Y393" s="938"/>
      <c r="Z393" s="939"/>
    </row>
    <row r="394" spans="1:36" s="8" customFormat="1" ht="15" hidden="1">
      <c r="A394" s="516"/>
      <c r="B394" s="59"/>
      <c r="C394" s="60"/>
      <c r="D394" s="82"/>
      <c r="E394" s="44"/>
      <c r="F394" s="83"/>
      <c r="G394" s="43"/>
      <c r="H394" s="44"/>
      <c r="I394" s="45"/>
      <c r="J394" s="46"/>
      <c r="K394" s="47"/>
      <c r="L394" s="48"/>
      <c r="M394" s="49"/>
      <c r="N394" s="50"/>
      <c r="O394" s="50"/>
      <c r="P394" s="48"/>
      <c r="Q394" s="53"/>
      <c r="R394" s="517"/>
      <c r="S394" s="54"/>
      <c r="T394" s="518"/>
      <c r="U394" s="71"/>
      <c r="V394" s="870">
        <f t="shared" si="41"/>
        <v>0</v>
      </c>
      <c r="AB394" s="15"/>
    </row>
    <row r="395" spans="1:36" s="8" customFormat="1" ht="15.75" hidden="1">
      <c r="A395" s="516"/>
      <c r="B395" s="877"/>
      <c r="C395" s="113"/>
      <c r="D395" s="2436" t="s">
        <v>18</v>
      </c>
      <c r="E395" s="2437"/>
      <c r="F395" s="2437"/>
      <c r="G395" s="2437"/>
      <c r="H395" s="2437"/>
      <c r="I395" s="2438"/>
      <c r="J395" s="2439">
        <f>VLOOKUP(A397,'12 - FINANCEIRA'!_xlnm.Print_Area,6,FALSE)</f>
        <v>225.29</v>
      </c>
      <c r="K395" s="2440"/>
      <c r="L395" s="519" t="str">
        <f>VLOOKUP(A397,'12 - FINANCEIRA'!_xlnm.Print_Area,4,FALSE)</f>
        <v>m²</v>
      </c>
      <c r="M395" s="2441" t="s">
        <v>19</v>
      </c>
      <c r="N395" s="2442"/>
      <c r="O395" s="2442"/>
      <c r="P395" s="2442"/>
      <c r="Q395" s="2443"/>
      <c r="R395" s="878">
        <f>SUM(R391:R394)</f>
        <v>0</v>
      </c>
      <c r="S395" s="520" t="str">
        <f>L395</f>
        <v>m²</v>
      </c>
      <c r="T395" s="680"/>
      <c r="U395" s="663"/>
      <c r="V395" s="870">
        <f t="shared" si="41"/>
        <v>0</v>
      </c>
      <c r="AB395" s="15"/>
    </row>
    <row r="396" spans="1:36" s="8" customFormat="1" ht="15.75" hidden="1">
      <c r="A396" s="516"/>
      <c r="B396" s="877"/>
      <c r="C396" s="681"/>
      <c r="D396" s="2444" t="s">
        <v>20</v>
      </c>
      <c r="E396" s="2445"/>
      <c r="F396" s="2445"/>
      <c r="G396" s="2445"/>
      <c r="H396" s="2445"/>
      <c r="I396" s="2446"/>
      <c r="J396" s="2450">
        <f>R395/J395</f>
        <v>0</v>
      </c>
      <c r="K396" s="2451"/>
      <c r="L396" s="2454"/>
      <c r="M396" s="2441" t="s">
        <v>21</v>
      </c>
      <c r="N396" s="2442"/>
      <c r="O396" s="2442"/>
      <c r="P396" s="2442"/>
      <c r="Q396" s="2443"/>
      <c r="R396" s="878">
        <f>VLOOKUP(A397,'12 - FINANCEIRA'!_xlnm.Print_Area,8,FALSE)</f>
        <v>0</v>
      </c>
      <c r="S396" s="879" t="str">
        <f>L395</f>
        <v>m²</v>
      </c>
      <c r="T396" s="680"/>
      <c r="U396" s="663"/>
      <c r="V396" s="870">
        <f t="shared" si="41"/>
        <v>0</v>
      </c>
      <c r="AB396" s="15"/>
    </row>
    <row r="397" spans="1:36" s="8" customFormat="1" ht="15.75" hidden="1">
      <c r="A397" s="516" t="s">
        <v>491</v>
      </c>
      <c r="B397" s="877"/>
      <c r="C397" s="113"/>
      <c r="D397" s="2447"/>
      <c r="E397" s="2448"/>
      <c r="F397" s="2448"/>
      <c r="G397" s="2448"/>
      <c r="H397" s="2448"/>
      <c r="I397" s="2449"/>
      <c r="J397" s="2452"/>
      <c r="K397" s="2453"/>
      <c r="L397" s="2455"/>
      <c r="M397" s="2456" t="s">
        <v>22</v>
      </c>
      <c r="N397" s="2457"/>
      <c r="O397" s="2457"/>
      <c r="P397" s="2457"/>
      <c r="Q397" s="2458"/>
      <c r="R397" s="521">
        <f>R395-R396</f>
        <v>0</v>
      </c>
      <c r="S397" s="522" t="str">
        <f>L395</f>
        <v>m²</v>
      </c>
      <c r="T397" s="680"/>
      <c r="U397" s="663"/>
      <c r="V397" s="870">
        <f>R397</f>
        <v>0</v>
      </c>
      <c r="AB397" s="15"/>
    </row>
    <row r="398" spans="1:36" s="8" customFormat="1" ht="15.75" hidden="1">
      <c r="A398" s="516"/>
      <c r="B398" s="523"/>
      <c r="C398" s="524"/>
      <c r="D398" s="526"/>
      <c r="E398" s="526"/>
      <c r="F398" s="526"/>
      <c r="G398" s="525"/>
      <c r="H398" s="525"/>
      <c r="I398" s="525"/>
      <c r="J398" s="527"/>
      <c r="K398" s="528"/>
      <c r="L398" s="529"/>
      <c r="M398" s="530"/>
      <c r="N398" s="530"/>
      <c r="O398" s="530"/>
      <c r="P398" s="530"/>
      <c r="Q398" s="530"/>
      <c r="R398" s="531"/>
      <c r="S398" s="532"/>
      <c r="T398" s="533"/>
      <c r="U398" s="534"/>
      <c r="V398" s="871">
        <f>SUM(V389:V397)</f>
        <v>0</v>
      </c>
      <c r="AB398" s="15"/>
    </row>
    <row r="399" spans="1:36" s="497" customFormat="1" ht="15.75" hidden="1">
      <c r="A399" s="495"/>
      <c r="B399" s="2423" t="str">
        <f>VLOOKUP(A407,'12 - FINANCEIRA'!_xlnm.Print_Area,1,FALSE)</f>
        <v>2.4.4</v>
      </c>
      <c r="C399" s="2421" t="str">
        <f>VLOOKUP(A407,'12 - FINANCEIRA'!_xlnm.Print_Area,3,FALSE)</f>
        <v>Índice de preço para remoção de entulho decorrente da execução de obras - BDI = 14,01</v>
      </c>
      <c r="D399" s="2479" t="s">
        <v>97</v>
      </c>
      <c r="E399" s="2480"/>
      <c r="F399" s="2480"/>
      <c r="G399" s="2480"/>
      <c r="H399" s="2480"/>
      <c r="I399" s="2481"/>
      <c r="J399" s="2416" t="s">
        <v>98</v>
      </c>
      <c r="K399" s="2416" t="s">
        <v>102</v>
      </c>
      <c r="L399" s="2416" t="s">
        <v>103</v>
      </c>
      <c r="M399" s="2416" t="s">
        <v>228</v>
      </c>
      <c r="N399" s="2416" t="s">
        <v>229</v>
      </c>
      <c r="O399" s="2416" t="s">
        <v>107</v>
      </c>
      <c r="P399" s="496" t="s">
        <v>153</v>
      </c>
      <c r="Q399" s="2416" t="s">
        <v>16</v>
      </c>
      <c r="R399" s="2425" t="s">
        <v>2</v>
      </c>
      <c r="S399" s="2416" t="s">
        <v>99</v>
      </c>
      <c r="T399" s="2416" t="s">
        <v>17</v>
      </c>
      <c r="U399" s="2428" t="s">
        <v>362</v>
      </c>
      <c r="V399" s="870">
        <f t="shared" ref="V399:V406" si="42">V400</f>
        <v>0</v>
      </c>
      <c r="W399" s="26"/>
      <c r="X399" s="26"/>
      <c r="Y399" s="26"/>
      <c r="Z399" s="27"/>
      <c r="AA399" s="9"/>
      <c r="AB399" s="9"/>
      <c r="AC399" s="9"/>
      <c r="AD399" s="9"/>
      <c r="AE399" s="9"/>
      <c r="AF399" s="9"/>
      <c r="AG399" s="9"/>
      <c r="AH399" s="9"/>
      <c r="AI399" s="9"/>
      <c r="AJ399" s="9"/>
    </row>
    <row r="400" spans="1:36" s="497" customFormat="1" ht="15.75" hidden="1">
      <c r="A400" s="495"/>
      <c r="B400" s="2471" t="e">
        <f>LEFT(#REF!,5)</f>
        <v>#REF!</v>
      </c>
      <c r="C400" s="2472" t="e">
        <f>VLOOKUP(LEFT(#REF!,5),'12 - FINANCEIRA'!_xlnm.Print_Area,2,FALSE)</f>
        <v>#REF!</v>
      </c>
      <c r="D400" s="2430" t="s">
        <v>14</v>
      </c>
      <c r="E400" s="2431"/>
      <c r="F400" s="2432"/>
      <c r="G400" s="2433" t="s">
        <v>15</v>
      </c>
      <c r="H400" s="2434"/>
      <c r="I400" s="2435"/>
      <c r="J400" s="2427"/>
      <c r="K400" s="2427"/>
      <c r="L400" s="2427"/>
      <c r="M400" s="2427"/>
      <c r="N400" s="2427"/>
      <c r="O400" s="2427"/>
      <c r="P400" s="498" t="s">
        <v>104</v>
      </c>
      <c r="Q400" s="2427"/>
      <c r="R400" s="2426"/>
      <c r="S400" s="2427"/>
      <c r="T400" s="2427"/>
      <c r="U400" s="2429"/>
      <c r="V400" s="870">
        <f t="shared" si="42"/>
        <v>0</v>
      </c>
      <c r="W400" s="26"/>
      <c r="X400" s="26"/>
      <c r="Y400" s="26"/>
      <c r="Z400" s="27"/>
      <c r="AA400" s="9"/>
      <c r="AB400" s="9"/>
      <c r="AC400" s="9"/>
      <c r="AD400" s="9"/>
      <c r="AE400" s="9"/>
      <c r="AF400" s="9"/>
      <c r="AG400" s="9"/>
      <c r="AH400" s="9"/>
      <c r="AI400" s="9"/>
      <c r="AJ400" s="9"/>
    </row>
    <row r="401" spans="1:36" s="9" customFormat="1" ht="15" hidden="1">
      <c r="A401" s="944"/>
      <c r="B401" s="922"/>
      <c r="C401" s="58"/>
      <c r="D401" s="82"/>
      <c r="E401" s="44"/>
      <c r="F401" s="83"/>
      <c r="G401" s="43"/>
      <c r="H401" s="44"/>
      <c r="I401" s="45"/>
      <c r="J401" s="46"/>
      <c r="K401" s="47"/>
      <c r="L401" s="48"/>
      <c r="M401" s="49"/>
      <c r="N401" s="211"/>
      <c r="O401" s="50"/>
      <c r="P401" s="48"/>
      <c r="Q401" s="209"/>
      <c r="R401" s="535"/>
      <c r="S401" s="876"/>
      <c r="T401" s="90"/>
      <c r="U401" s="39"/>
      <c r="V401" s="870">
        <f t="shared" si="42"/>
        <v>0</v>
      </c>
      <c r="W401" s="26"/>
      <c r="X401" s="26"/>
      <c r="Y401" s="26"/>
      <c r="Z401" s="27"/>
      <c r="AA401" s="41"/>
      <c r="AB401" s="42"/>
    </row>
    <row r="402" spans="1:36" s="9" customFormat="1" ht="15" hidden="1">
      <c r="A402" s="944"/>
      <c r="B402" s="922"/>
      <c r="C402" s="58"/>
      <c r="D402" s="82"/>
      <c r="E402" s="44"/>
      <c r="F402" s="83"/>
      <c r="G402" s="43"/>
      <c r="H402" s="44"/>
      <c r="I402" s="45"/>
      <c r="J402" s="46"/>
      <c r="K402" s="47"/>
      <c r="L402" s="48"/>
      <c r="M402" s="49"/>
      <c r="N402" s="211"/>
      <c r="O402" s="50"/>
      <c r="P402" s="48"/>
      <c r="Q402" s="209"/>
      <c r="R402" s="168"/>
      <c r="S402" s="536"/>
      <c r="T402" s="90"/>
      <c r="U402" s="39"/>
      <c r="V402" s="870">
        <f t="shared" si="42"/>
        <v>0</v>
      </c>
      <c r="W402" s="26"/>
      <c r="X402" s="26"/>
      <c r="Y402" s="26"/>
      <c r="Z402" s="27"/>
      <c r="AA402" s="41"/>
      <c r="AB402" s="42"/>
    </row>
    <row r="403" spans="1:36" s="8" customFormat="1" ht="15" hidden="1">
      <c r="A403" s="516"/>
      <c r="B403" s="922"/>
      <c r="C403" s="58"/>
      <c r="D403" s="82"/>
      <c r="E403" s="44"/>
      <c r="F403" s="83"/>
      <c r="G403" s="43"/>
      <c r="H403" s="44"/>
      <c r="I403" s="45"/>
      <c r="J403" s="46"/>
      <c r="K403" s="47"/>
      <c r="L403" s="48"/>
      <c r="M403" s="49"/>
      <c r="N403" s="50"/>
      <c r="O403" s="50"/>
      <c r="P403" s="48"/>
      <c r="Q403" s="53"/>
      <c r="R403" s="887"/>
      <c r="S403" s="180"/>
      <c r="T403" s="90"/>
      <c r="U403" s="39"/>
      <c r="V403" s="870">
        <f t="shared" si="42"/>
        <v>0</v>
      </c>
      <c r="W403" s="938"/>
      <c r="X403" s="938"/>
      <c r="Y403" s="938"/>
      <c r="Z403" s="939"/>
    </row>
    <row r="404" spans="1:36" s="8" customFormat="1" ht="15" hidden="1">
      <c r="A404" s="516"/>
      <c r="B404" s="59"/>
      <c r="C404" s="60"/>
      <c r="D404" s="82"/>
      <c r="E404" s="44"/>
      <c r="F404" s="83"/>
      <c r="G404" s="43"/>
      <c r="H404" s="44"/>
      <c r="I404" s="45"/>
      <c r="J404" s="46"/>
      <c r="K404" s="47"/>
      <c r="L404" s="48"/>
      <c r="M404" s="49"/>
      <c r="N404" s="50"/>
      <c r="O404" s="50"/>
      <c r="P404" s="48"/>
      <c r="Q404" s="53"/>
      <c r="R404" s="517"/>
      <c r="S404" s="54"/>
      <c r="T404" s="518"/>
      <c r="U404" s="71"/>
      <c r="V404" s="870">
        <f t="shared" si="42"/>
        <v>0</v>
      </c>
      <c r="AB404" s="15"/>
    </row>
    <row r="405" spans="1:36" s="8" customFormat="1" ht="15.75" hidden="1">
      <c r="A405" s="516"/>
      <c r="B405" s="877"/>
      <c r="C405" s="113"/>
      <c r="D405" s="2436" t="s">
        <v>18</v>
      </c>
      <c r="E405" s="2437"/>
      <c r="F405" s="2437"/>
      <c r="G405" s="2437"/>
      <c r="H405" s="2437"/>
      <c r="I405" s="2438"/>
      <c r="J405" s="2439">
        <f>VLOOKUP(A407,'12 - FINANCEIRA'!_xlnm.Print_Area,6,FALSE)</f>
        <v>54.02</v>
      </c>
      <c r="K405" s="2440"/>
      <c r="L405" s="519" t="str">
        <f>VLOOKUP(A407,'12 - FINANCEIRA'!_xlnm.Print_Area,4,FALSE)</f>
        <v>m³</v>
      </c>
      <c r="M405" s="2441" t="s">
        <v>19</v>
      </c>
      <c r="N405" s="2442"/>
      <c r="O405" s="2442"/>
      <c r="P405" s="2442"/>
      <c r="Q405" s="2443"/>
      <c r="R405" s="878">
        <f>SUM(R401:R404)</f>
        <v>0</v>
      </c>
      <c r="S405" s="520" t="str">
        <f>L405</f>
        <v>m³</v>
      </c>
      <c r="T405" s="680"/>
      <c r="U405" s="663"/>
      <c r="V405" s="870">
        <f t="shared" si="42"/>
        <v>0</v>
      </c>
      <c r="AB405" s="15"/>
    </row>
    <row r="406" spans="1:36" s="8" customFormat="1" ht="15.75" hidden="1">
      <c r="A406" s="516"/>
      <c r="B406" s="877"/>
      <c r="C406" s="681"/>
      <c r="D406" s="2444" t="s">
        <v>20</v>
      </c>
      <c r="E406" s="2445"/>
      <c r="F406" s="2445"/>
      <c r="G406" s="2445"/>
      <c r="H406" s="2445"/>
      <c r="I406" s="2446"/>
      <c r="J406" s="2450">
        <f>R405/J405</f>
        <v>0</v>
      </c>
      <c r="K406" s="2451"/>
      <c r="L406" s="2454"/>
      <c r="M406" s="2441" t="s">
        <v>21</v>
      </c>
      <c r="N406" s="2442"/>
      <c r="O406" s="2442"/>
      <c r="P406" s="2442"/>
      <c r="Q406" s="2443"/>
      <c r="R406" s="878">
        <f>VLOOKUP(A407,'12 - FINANCEIRA'!_xlnm.Print_Area,8,FALSE)</f>
        <v>0</v>
      </c>
      <c r="S406" s="879" t="str">
        <f>L405</f>
        <v>m³</v>
      </c>
      <c r="T406" s="680"/>
      <c r="U406" s="663"/>
      <c r="V406" s="870">
        <f t="shared" si="42"/>
        <v>0</v>
      </c>
      <c r="AB406" s="15"/>
    </row>
    <row r="407" spans="1:36" s="8" customFormat="1" ht="15.75" hidden="1">
      <c r="A407" s="516" t="s">
        <v>673</v>
      </c>
      <c r="B407" s="877"/>
      <c r="C407" s="113"/>
      <c r="D407" s="2447"/>
      <c r="E407" s="2448"/>
      <c r="F407" s="2448"/>
      <c r="G407" s="2448"/>
      <c r="H407" s="2448"/>
      <c r="I407" s="2449"/>
      <c r="J407" s="2452"/>
      <c r="K407" s="2453"/>
      <c r="L407" s="2455"/>
      <c r="M407" s="2456" t="s">
        <v>22</v>
      </c>
      <c r="N407" s="2457"/>
      <c r="O407" s="2457"/>
      <c r="P407" s="2457"/>
      <c r="Q407" s="2458"/>
      <c r="R407" s="521">
        <f>R405-R406</f>
        <v>0</v>
      </c>
      <c r="S407" s="522" t="str">
        <f>L405</f>
        <v>m³</v>
      </c>
      <c r="T407" s="680"/>
      <c r="U407" s="663"/>
      <c r="V407" s="870">
        <f>R407</f>
        <v>0</v>
      </c>
      <c r="AB407" s="15"/>
    </row>
    <row r="408" spans="1:36" s="8" customFormat="1" ht="15.75" hidden="1">
      <c r="A408" s="516"/>
      <c r="B408" s="523"/>
      <c r="C408" s="524"/>
      <c r="D408" s="526"/>
      <c r="E408" s="526"/>
      <c r="F408" s="526"/>
      <c r="G408" s="525"/>
      <c r="H408" s="525"/>
      <c r="I408" s="525"/>
      <c r="J408" s="527"/>
      <c r="K408" s="528"/>
      <c r="L408" s="529"/>
      <c r="M408" s="530"/>
      <c r="N408" s="530"/>
      <c r="O408" s="530"/>
      <c r="P408" s="530"/>
      <c r="Q408" s="530"/>
      <c r="R408" s="531"/>
      <c r="S408" s="532"/>
      <c r="T408" s="533"/>
      <c r="U408" s="534"/>
      <c r="V408" s="871">
        <f>SUM(V399:V407)</f>
        <v>0</v>
      </c>
      <c r="AB408" s="15"/>
    </row>
    <row r="409" spans="1:36" s="494" customFormat="1" ht="15.75" hidden="1">
      <c r="A409" s="943"/>
      <c r="B409" s="489" t="s">
        <v>492</v>
      </c>
      <c r="C409" s="490" t="str">
        <f>VLOOKUP(B409,'12 - FINANCEIRA'!_xlnm.Print_Area,2,FALSE)</f>
        <v>ESTRUTURA</v>
      </c>
      <c r="D409" s="491"/>
      <c r="E409" s="491"/>
      <c r="F409" s="491"/>
      <c r="G409" s="2492"/>
      <c r="H409" s="2493"/>
      <c r="I409" s="2493"/>
      <c r="J409" s="2493"/>
      <c r="K409" s="2493"/>
      <c r="L409" s="2493"/>
      <c r="M409" s="492"/>
      <c r="N409" s="493"/>
      <c r="O409" s="2493"/>
      <c r="P409" s="2493"/>
      <c r="Q409" s="2493"/>
      <c r="R409" s="2493"/>
      <c r="S409" s="892"/>
      <c r="T409" s="906"/>
      <c r="U409" s="907"/>
      <c r="V409" s="487">
        <f>SUM(V410:V614)</f>
        <v>61718.296000000002</v>
      </c>
    </row>
    <row r="410" spans="1:36" s="497" customFormat="1" ht="15.75" customHeight="1">
      <c r="A410" s="495"/>
      <c r="B410" s="2423" t="str">
        <f>VLOOKUP(A434,'12 - FINANCEIRA'!_xlnm.Print_Area,1,FALSE)</f>
        <v>2.5.1</v>
      </c>
      <c r="C410" s="2421" t="str">
        <f>VLOOKUP(A434,'12 - FINANCEIRA'!_xlnm.Print_Area,3,FALSE)</f>
        <v>Fornecimento e assentamento de galeria de concreto pré-moldado 2,0 X 1,5 metros fechada (tampa fixa) (m)</v>
      </c>
      <c r="D410" s="2479" t="s">
        <v>97</v>
      </c>
      <c r="E410" s="2480"/>
      <c r="F410" s="2480"/>
      <c r="G410" s="2480"/>
      <c r="H410" s="2480"/>
      <c r="I410" s="2481"/>
      <c r="J410" s="2416" t="s">
        <v>98</v>
      </c>
      <c r="K410" s="2416" t="s">
        <v>102</v>
      </c>
      <c r="L410" s="2416" t="s">
        <v>103</v>
      </c>
      <c r="M410" s="2416" t="s">
        <v>228</v>
      </c>
      <c r="N410" s="2416" t="s">
        <v>229</v>
      </c>
      <c r="O410" s="2416" t="s">
        <v>107</v>
      </c>
      <c r="P410" s="2416" t="s">
        <v>613</v>
      </c>
      <c r="Q410" s="2416" t="s">
        <v>16</v>
      </c>
      <c r="R410" s="2425" t="s">
        <v>2</v>
      </c>
      <c r="S410" s="2416" t="s">
        <v>99</v>
      </c>
      <c r="T410" s="2416" t="s">
        <v>17</v>
      </c>
      <c r="U410" s="2428" t="s">
        <v>362</v>
      </c>
      <c r="V410" s="870">
        <f t="shared" ref="V410:V433" si="43">V411</f>
        <v>4</v>
      </c>
      <c r="W410" s="26"/>
      <c r="X410" s="26"/>
      <c r="Y410" s="26"/>
      <c r="Z410" s="27"/>
      <c r="AA410" s="9"/>
      <c r="AB410" s="9"/>
      <c r="AC410" s="9"/>
      <c r="AD410" s="9"/>
      <c r="AE410" s="9"/>
      <c r="AF410" s="9"/>
      <c r="AG410" s="9"/>
      <c r="AH410" s="9"/>
      <c r="AI410" s="9"/>
      <c r="AJ410" s="9"/>
    </row>
    <row r="411" spans="1:36" s="497" customFormat="1" ht="15.75">
      <c r="A411" s="495"/>
      <c r="B411" s="2471" t="e">
        <f>LEFT(#REF!,5)</f>
        <v>#REF!</v>
      </c>
      <c r="C411" s="2472" t="e">
        <f>VLOOKUP(LEFT(#REF!,5),'12 - FINANCEIRA'!_xlnm.Print_Area,2,FALSE)</f>
        <v>#REF!</v>
      </c>
      <c r="D411" s="2430" t="s">
        <v>14</v>
      </c>
      <c r="E411" s="2431"/>
      <c r="F411" s="2432"/>
      <c r="G411" s="2433" t="s">
        <v>15</v>
      </c>
      <c r="H411" s="2434"/>
      <c r="I411" s="2435"/>
      <c r="J411" s="2427"/>
      <c r="K411" s="2427"/>
      <c r="L411" s="2427"/>
      <c r="M411" s="2427"/>
      <c r="N411" s="2427"/>
      <c r="O411" s="2427"/>
      <c r="P411" s="2427"/>
      <c r="Q411" s="2427"/>
      <c r="R411" s="2426"/>
      <c r="S411" s="2427"/>
      <c r="T411" s="2427"/>
      <c r="U411" s="2429"/>
      <c r="V411" s="870">
        <f t="shared" si="43"/>
        <v>4</v>
      </c>
      <c r="W411" s="26"/>
      <c r="X411" s="26"/>
      <c r="Y411" s="26"/>
      <c r="Z411" s="27"/>
      <c r="AA411" s="9"/>
      <c r="AB411" s="9"/>
      <c r="AC411" s="9"/>
      <c r="AD411" s="9"/>
      <c r="AE411" s="9"/>
      <c r="AF411" s="9"/>
      <c r="AG411" s="9"/>
      <c r="AH411" s="9"/>
      <c r="AI411" s="9"/>
      <c r="AJ411" s="9"/>
    </row>
    <row r="412" spans="1:36" s="497" customFormat="1" ht="15" customHeight="1">
      <c r="A412" s="495"/>
      <c r="B412" s="1285"/>
      <c r="C412" s="76" t="s">
        <v>880</v>
      </c>
      <c r="D412" s="962">
        <v>0</v>
      </c>
      <c r="E412" s="963" t="s">
        <v>68</v>
      </c>
      <c r="F412" s="964">
        <v>0</v>
      </c>
      <c r="G412" s="962">
        <v>0</v>
      </c>
      <c r="H412" s="963" t="s">
        <v>68</v>
      </c>
      <c r="I412" s="964">
        <v>1.8</v>
      </c>
      <c r="J412" s="77" t="s">
        <v>105</v>
      </c>
      <c r="K412" s="1786">
        <f t="shared" ref="K412:K431" si="44">(G412-D412)*20+I412-F412</f>
        <v>1.8</v>
      </c>
      <c r="L412" s="1483"/>
      <c r="M412" s="969"/>
      <c r="N412" s="1793"/>
      <c r="O412" s="1484"/>
      <c r="P412" s="215"/>
      <c r="Q412" s="971"/>
      <c r="R412" s="1362">
        <f t="shared" ref="R412:R431" si="45">K412</f>
        <v>1.8</v>
      </c>
      <c r="S412" s="1485" t="s">
        <v>8</v>
      </c>
      <c r="T412" s="972" t="s">
        <v>90</v>
      </c>
      <c r="U412" s="78"/>
      <c r="V412" s="870">
        <f t="shared" si="43"/>
        <v>4</v>
      </c>
      <c r="W412" s="26"/>
      <c r="X412" s="26"/>
      <c r="Y412" s="26"/>
      <c r="Z412" s="27"/>
      <c r="AA412" s="9"/>
      <c r="AB412" s="9"/>
      <c r="AC412" s="9"/>
      <c r="AD412" s="9"/>
      <c r="AE412" s="9"/>
      <c r="AF412" s="9"/>
      <c r="AG412" s="9"/>
      <c r="AH412" s="9"/>
      <c r="AI412" s="9"/>
      <c r="AJ412" s="9"/>
    </row>
    <row r="413" spans="1:36" s="497" customFormat="1" ht="15" customHeight="1">
      <c r="A413" s="495"/>
      <c r="B413" s="1285"/>
      <c r="C413" s="76" t="s">
        <v>880</v>
      </c>
      <c r="D413" s="1351">
        <v>0</v>
      </c>
      <c r="E413" s="1352" t="s">
        <v>68</v>
      </c>
      <c r="F413" s="1353">
        <v>3.48</v>
      </c>
      <c r="G413" s="1351">
        <v>1</v>
      </c>
      <c r="H413" s="1352" t="s">
        <v>68</v>
      </c>
      <c r="I413" s="1353">
        <v>10.84</v>
      </c>
      <c r="J413" s="1356" t="s">
        <v>105</v>
      </c>
      <c r="K413" s="1786">
        <f t="shared" si="44"/>
        <v>27.36</v>
      </c>
      <c r="L413" s="1483"/>
      <c r="M413" s="969"/>
      <c r="N413" s="1793"/>
      <c r="O413" s="1484"/>
      <c r="P413" s="215"/>
      <c r="Q413" s="971"/>
      <c r="R413" s="1362">
        <f t="shared" si="45"/>
        <v>27.36</v>
      </c>
      <c r="S413" s="1485" t="s">
        <v>8</v>
      </c>
      <c r="T413" s="972" t="s">
        <v>90</v>
      </c>
      <c r="U413" s="78"/>
      <c r="V413" s="870">
        <f t="shared" si="43"/>
        <v>4</v>
      </c>
      <c r="W413" s="26"/>
      <c r="X413" s="26"/>
      <c r="Y413" s="26"/>
      <c r="Z413" s="27"/>
      <c r="AA413" s="9"/>
      <c r="AB413" s="9"/>
      <c r="AC413" s="9"/>
      <c r="AD413" s="9"/>
      <c r="AE413" s="9"/>
      <c r="AF413" s="9"/>
      <c r="AG413" s="9"/>
      <c r="AH413" s="9"/>
      <c r="AI413" s="9"/>
      <c r="AJ413" s="9"/>
    </row>
    <row r="414" spans="1:36" s="497" customFormat="1" ht="15.75">
      <c r="A414" s="495"/>
      <c r="B414" s="1285"/>
      <c r="C414" s="76" t="s">
        <v>880</v>
      </c>
      <c r="D414" s="962">
        <v>1</v>
      </c>
      <c r="E414" s="963" t="s">
        <v>68</v>
      </c>
      <c r="F414" s="964">
        <v>12.2</v>
      </c>
      <c r="G414" s="1351">
        <v>2</v>
      </c>
      <c r="H414" s="1352" t="s">
        <v>68</v>
      </c>
      <c r="I414" s="1353">
        <v>18.149999999999999</v>
      </c>
      <c r="J414" s="1356" t="s">
        <v>105</v>
      </c>
      <c r="K414" s="1786">
        <f t="shared" si="44"/>
        <v>25.95</v>
      </c>
      <c r="L414" s="1483"/>
      <c r="M414" s="969"/>
      <c r="N414" s="1793"/>
      <c r="O414" s="1484"/>
      <c r="P414" s="215"/>
      <c r="Q414" s="971"/>
      <c r="R414" s="1362">
        <f t="shared" si="45"/>
        <v>25.95</v>
      </c>
      <c r="S414" s="1485" t="s">
        <v>8</v>
      </c>
      <c r="T414" s="972" t="s">
        <v>90</v>
      </c>
      <c r="U414" s="78"/>
      <c r="V414" s="870">
        <f t="shared" si="43"/>
        <v>4</v>
      </c>
      <c r="W414" s="26"/>
      <c r="X414" s="26"/>
      <c r="Y414" s="26"/>
      <c r="Z414" s="27"/>
      <c r="AA414" s="9"/>
      <c r="AB414" s="9"/>
      <c r="AC414" s="9"/>
      <c r="AD414" s="9"/>
      <c r="AE414" s="9"/>
      <c r="AF414" s="9"/>
      <c r="AG414" s="9"/>
      <c r="AH414" s="9"/>
      <c r="AI414" s="9"/>
      <c r="AJ414" s="9"/>
    </row>
    <row r="415" spans="1:36" s="497" customFormat="1" ht="15.75">
      <c r="A415" s="495"/>
      <c r="B415" s="1285"/>
      <c r="C415" s="76" t="s">
        <v>880</v>
      </c>
      <c r="D415" s="962">
        <v>2</v>
      </c>
      <c r="E415" s="963" t="s">
        <v>68</v>
      </c>
      <c r="F415" s="964">
        <v>19.829999999999998</v>
      </c>
      <c r="G415" s="962">
        <v>4</v>
      </c>
      <c r="H415" s="963" t="s">
        <v>68</v>
      </c>
      <c r="I415" s="964">
        <v>2.4900000000000002</v>
      </c>
      <c r="J415" s="1356" t="s">
        <v>105</v>
      </c>
      <c r="K415" s="1786">
        <f t="shared" si="44"/>
        <v>22.660000000000004</v>
      </c>
      <c r="L415" s="1483"/>
      <c r="M415" s="969"/>
      <c r="N415" s="1793"/>
      <c r="O415" s="1484"/>
      <c r="P415" s="215"/>
      <c r="Q415" s="971"/>
      <c r="R415" s="1362">
        <f t="shared" si="45"/>
        <v>22.660000000000004</v>
      </c>
      <c r="S415" s="1485" t="s">
        <v>8</v>
      </c>
      <c r="T415" s="972" t="s">
        <v>90</v>
      </c>
      <c r="U415" s="78"/>
      <c r="V415" s="870">
        <f t="shared" si="43"/>
        <v>4</v>
      </c>
      <c r="W415" s="26"/>
      <c r="X415" s="26"/>
      <c r="Y415" s="26"/>
      <c r="Z415" s="27"/>
      <c r="AA415" s="9"/>
      <c r="AB415" s="9"/>
      <c r="AC415" s="9"/>
      <c r="AD415" s="9"/>
      <c r="AE415" s="9"/>
      <c r="AF415" s="9"/>
      <c r="AG415" s="9"/>
      <c r="AH415" s="9"/>
      <c r="AI415" s="9"/>
      <c r="AJ415" s="9"/>
    </row>
    <row r="416" spans="1:36" s="497" customFormat="1" ht="15.75">
      <c r="A416" s="495"/>
      <c r="B416" s="1285"/>
      <c r="C416" s="76" t="s">
        <v>880</v>
      </c>
      <c r="D416" s="962">
        <v>4</v>
      </c>
      <c r="E416" s="963" t="s">
        <v>68</v>
      </c>
      <c r="F416" s="964">
        <v>3.8500000000000005</v>
      </c>
      <c r="G416" s="962">
        <v>5</v>
      </c>
      <c r="H416" s="963" t="s">
        <v>68</v>
      </c>
      <c r="I416" s="964">
        <v>16.309999999999999</v>
      </c>
      <c r="J416" s="1356" t="s">
        <v>105</v>
      </c>
      <c r="K416" s="1786">
        <f t="shared" si="44"/>
        <v>32.46</v>
      </c>
      <c r="L416" s="1483"/>
      <c r="M416" s="969"/>
      <c r="N416" s="1793"/>
      <c r="O416" s="1484"/>
      <c r="P416" s="215"/>
      <c r="Q416" s="971"/>
      <c r="R416" s="1362">
        <f t="shared" si="45"/>
        <v>32.46</v>
      </c>
      <c r="S416" s="1485" t="s">
        <v>8</v>
      </c>
      <c r="T416" s="972" t="s">
        <v>90</v>
      </c>
      <c r="U416" s="78"/>
      <c r="V416" s="870">
        <f t="shared" si="43"/>
        <v>4</v>
      </c>
      <c r="W416" s="26"/>
      <c r="X416" s="26"/>
      <c r="Y416" s="26"/>
      <c r="Z416" s="27"/>
      <c r="AA416" s="9"/>
      <c r="AB416" s="9"/>
      <c r="AC416" s="9"/>
      <c r="AD416" s="9"/>
      <c r="AE416" s="9"/>
      <c r="AF416" s="9"/>
      <c r="AG416" s="9"/>
      <c r="AH416" s="9"/>
      <c r="AI416" s="9"/>
      <c r="AJ416" s="9"/>
    </row>
    <row r="417" spans="1:36" s="497" customFormat="1" ht="15.75">
      <c r="A417" s="495"/>
      <c r="B417" s="1285"/>
      <c r="C417" s="76" t="s">
        <v>880</v>
      </c>
      <c r="D417" s="962">
        <v>5</v>
      </c>
      <c r="E417" s="963" t="s">
        <v>68</v>
      </c>
      <c r="F417" s="964">
        <v>17.989999999999998</v>
      </c>
      <c r="G417" s="962">
        <v>7</v>
      </c>
      <c r="H417" s="963" t="s">
        <v>68</v>
      </c>
      <c r="I417" s="964">
        <v>3.17</v>
      </c>
      <c r="J417" s="1356" t="s">
        <v>105</v>
      </c>
      <c r="K417" s="1786">
        <f t="shared" si="44"/>
        <v>25.180000000000003</v>
      </c>
      <c r="L417" s="1483"/>
      <c r="M417" s="969"/>
      <c r="N417" s="1793"/>
      <c r="O417" s="1484"/>
      <c r="P417" s="215"/>
      <c r="Q417" s="971"/>
      <c r="R417" s="1362">
        <f t="shared" si="45"/>
        <v>25.180000000000003</v>
      </c>
      <c r="S417" s="1485" t="s">
        <v>8</v>
      </c>
      <c r="T417" s="972" t="s">
        <v>90</v>
      </c>
      <c r="U417" s="78"/>
      <c r="V417" s="870">
        <f t="shared" si="43"/>
        <v>4</v>
      </c>
      <c r="W417" s="26"/>
      <c r="X417" s="26"/>
      <c r="Y417" s="26"/>
      <c r="Z417" s="27"/>
      <c r="AA417" s="9"/>
      <c r="AB417" s="9"/>
      <c r="AC417" s="9"/>
      <c r="AD417" s="9"/>
      <c r="AE417" s="9"/>
      <c r="AF417" s="9"/>
      <c r="AG417" s="9"/>
      <c r="AH417" s="9"/>
      <c r="AI417" s="9"/>
      <c r="AJ417" s="9"/>
    </row>
    <row r="418" spans="1:36" s="497" customFormat="1" ht="15.75">
      <c r="A418" s="495"/>
      <c r="B418" s="1285"/>
      <c r="C418" s="76" t="s">
        <v>880</v>
      </c>
      <c r="D418" s="962">
        <v>7</v>
      </c>
      <c r="E418" s="963" t="s">
        <v>68</v>
      </c>
      <c r="F418" s="964">
        <v>4.53</v>
      </c>
      <c r="G418" s="962">
        <v>8</v>
      </c>
      <c r="H418" s="963" t="s">
        <v>68</v>
      </c>
      <c r="I418" s="964">
        <v>14</v>
      </c>
      <c r="J418" s="1356" t="s">
        <v>105</v>
      </c>
      <c r="K418" s="1786">
        <f t="shared" si="44"/>
        <v>29.47</v>
      </c>
      <c r="L418" s="1483"/>
      <c r="M418" s="969"/>
      <c r="N418" s="1793"/>
      <c r="O418" s="1484"/>
      <c r="P418" s="215"/>
      <c r="Q418" s="971"/>
      <c r="R418" s="1362">
        <f t="shared" si="45"/>
        <v>29.47</v>
      </c>
      <c r="S418" s="1485" t="s">
        <v>8</v>
      </c>
      <c r="T418" s="972" t="s">
        <v>90</v>
      </c>
      <c r="U418" s="78"/>
      <c r="V418" s="870">
        <f t="shared" si="43"/>
        <v>4</v>
      </c>
      <c r="W418" s="26"/>
      <c r="X418" s="26"/>
      <c r="Y418" s="26"/>
      <c r="Z418" s="27"/>
      <c r="AA418" s="9"/>
      <c r="AB418" s="9"/>
      <c r="AC418" s="9"/>
      <c r="AD418" s="9"/>
      <c r="AE418" s="9"/>
      <c r="AF418" s="9"/>
      <c r="AG418" s="9"/>
      <c r="AH418" s="9"/>
      <c r="AI418" s="9"/>
      <c r="AJ418" s="9"/>
    </row>
    <row r="419" spans="1:36" s="497" customFormat="1" ht="15.75">
      <c r="A419" s="495"/>
      <c r="B419" s="1285"/>
      <c r="C419" s="76" t="s">
        <v>880</v>
      </c>
      <c r="D419" s="962">
        <v>8</v>
      </c>
      <c r="E419" s="963" t="s">
        <v>68</v>
      </c>
      <c r="F419" s="964">
        <v>15.68</v>
      </c>
      <c r="G419" s="962">
        <v>10</v>
      </c>
      <c r="H419" s="963" t="s">
        <v>68</v>
      </c>
      <c r="I419" s="964">
        <v>1.37</v>
      </c>
      <c r="J419" s="1356" t="s">
        <v>105</v>
      </c>
      <c r="K419" s="1786">
        <f t="shared" si="44"/>
        <v>25.689999999999998</v>
      </c>
      <c r="L419" s="1483"/>
      <c r="M419" s="969"/>
      <c r="N419" s="1793"/>
      <c r="O419" s="1484"/>
      <c r="P419" s="215"/>
      <c r="Q419" s="971"/>
      <c r="R419" s="1362">
        <f t="shared" si="45"/>
        <v>25.689999999999998</v>
      </c>
      <c r="S419" s="1485" t="s">
        <v>8</v>
      </c>
      <c r="T419" s="972" t="s">
        <v>90</v>
      </c>
      <c r="U419" s="78"/>
      <c r="V419" s="870">
        <f t="shared" si="43"/>
        <v>4</v>
      </c>
      <c r="W419" s="26"/>
      <c r="X419" s="26"/>
      <c r="Y419" s="26"/>
      <c r="Z419" s="27"/>
      <c r="AA419" s="9"/>
      <c r="AB419" s="9"/>
      <c r="AC419" s="9"/>
      <c r="AD419" s="9"/>
      <c r="AE419" s="9"/>
      <c r="AF419" s="9"/>
      <c r="AG419" s="9"/>
      <c r="AH419" s="9"/>
      <c r="AI419" s="9"/>
      <c r="AJ419" s="9"/>
    </row>
    <row r="420" spans="1:36" s="497" customFormat="1" ht="15.75">
      <c r="A420" s="495"/>
      <c r="B420" s="1285"/>
      <c r="C420" s="76" t="s">
        <v>880</v>
      </c>
      <c r="D420" s="962">
        <v>10</v>
      </c>
      <c r="E420" s="963" t="s">
        <v>68</v>
      </c>
      <c r="F420" s="964">
        <v>2.7300000000000004</v>
      </c>
      <c r="G420" s="962">
        <v>11</v>
      </c>
      <c r="H420" s="963" t="s">
        <v>68</v>
      </c>
      <c r="I420" s="964">
        <v>6.78</v>
      </c>
      <c r="J420" s="1356" t="s">
        <v>105</v>
      </c>
      <c r="K420" s="1786">
        <f t="shared" si="44"/>
        <v>24.05</v>
      </c>
      <c r="L420" s="1483"/>
      <c r="M420" s="969"/>
      <c r="N420" s="1793"/>
      <c r="O420" s="1484"/>
      <c r="P420" s="215"/>
      <c r="Q420" s="971"/>
      <c r="R420" s="1362">
        <f t="shared" si="45"/>
        <v>24.05</v>
      </c>
      <c r="S420" s="1485" t="s">
        <v>8</v>
      </c>
      <c r="T420" s="972" t="s">
        <v>90</v>
      </c>
      <c r="U420" s="78"/>
      <c r="V420" s="870">
        <f t="shared" si="43"/>
        <v>4</v>
      </c>
      <c r="W420" s="26"/>
      <c r="X420" s="26"/>
      <c r="Y420" s="26"/>
      <c r="Z420" s="27"/>
      <c r="AA420" s="9"/>
      <c r="AB420" s="9"/>
      <c r="AC420" s="9"/>
      <c r="AD420" s="9"/>
      <c r="AE420" s="9"/>
      <c r="AF420" s="9"/>
      <c r="AG420" s="9"/>
      <c r="AH420" s="9"/>
      <c r="AI420" s="9"/>
      <c r="AJ420" s="9"/>
    </row>
    <row r="421" spans="1:36" s="497" customFormat="1" ht="15.75">
      <c r="A421" s="495"/>
      <c r="B421" s="1285"/>
      <c r="C421" s="76" t="s">
        <v>880</v>
      </c>
      <c r="D421" s="962">
        <v>11</v>
      </c>
      <c r="E421" s="963" t="s">
        <v>68</v>
      </c>
      <c r="F421" s="964">
        <v>9.49</v>
      </c>
      <c r="G421" s="962">
        <v>14</v>
      </c>
      <c r="H421" s="963" t="s">
        <v>68</v>
      </c>
      <c r="I421" s="964">
        <v>3.44</v>
      </c>
      <c r="J421" s="1356" t="s">
        <v>105</v>
      </c>
      <c r="K421" s="1786">
        <f t="shared" si="44"/>
        <v>53.949999999999996</v>
      </c>
      <c r="L421" s="1483"/>
      <c r="M421" s="969"/>
      <c r="N421" s="1793"/>
      <c r="O421" s="1484"/>
      <c r="P421" s="215"/>
      <c r="Q421" s="971"/>
      <c r="R421" s="1362">
        <f t="shared" si="45"/>
        <v>53.949999999999996</v>
      </c>
      <c r="S421" s="1485" t="s">
        <v>8</v>
      </c>
      <c r="T421" s="972" t="s">
        <v>90</v>
      </c>
      <c r="U421" s="78"/>
      <c r="V421" s="870">
        <f t="shared" si="43"/>
        <v>4</v>
      </c>
      <c r="W421" s="26"/>
      <c r="X421" s="26"/>
      <c r="Y421" s="26"/>
      <c r="Z421" s="27"/>
      <c r="AA421" s="9"/>
      <c r="AB421" s="9"/>
      <c r="AC421" s="9"/>
      <c r="AD421" s="9"/>
      <c r="AE421" s="9"/>
      <c r="AF421" s="9"/>
      <c r="AG421" s="9"/>
      <c r="AH421" s="9"/>
      <c r="AI421" s="9"/>
      <c r="AJ421" s="9"/>
    </row>
    <row r="422" spans="1:36" s="497" customFormat="1" ht="15.75">
      <c r="A422" s="495"/>
      <c r="B422" s="1784"/>
      <c r="C422" s="76" t="s">
        <v>880</v>
      </c>
      <c r="D422" s="962">
        <v>14</v>
      </c>
      <c r="E422" s="963" t="s">
        <v>68</v>
      </c>
      <c r="F422" s="964">
        <v>5.12</v>
      </c>
      <c r="G422" s="962">
        <v>16</v>
      </c>
      <c r="H422" s="963" t="s">
        <v>68</v>
      </c>
      <c r="I422" s="964">
        <v>17.73</v>
      </c>
      <c r="J422" s="1356" t="s">
        <v>105</v>
      </c>
      <c r="K422" s="1786">
        <f t="shared" si="44"/>
        <v>52.610000000000007</v>
      </c>
      <c r="L422" s="1787"/>
      <c r="M422" s="1359"/>
      <c r="N422" s="1785"/>
      <c r="O422" s="1361"/>
      <c r="P422" s="1358"/>
      <c r="Q422" s="1617"/>
      <c r="R422" s="1362">
        <f t="shared" si="45"/>
        <v>52.610000000000007</v>
      </c>
      <c r="S422" s="1419" t="s">
        <v>8</v>
      </c>
      <c r="T422" s="1364" t="s">
        <v>90</v>
      </c>
      <c r="U422" s="181"/>
      <c r="V422" s="870">
        <f t="shared" si="43"/>
        <v>4</v>
      </c>
      <c r="W422" s="26"/>
      <c r="X422" s="26"/>
      <c r="Y422" s="26"/>
      <c r="Z422" s="27"/>
      <c r="AA422" s="9"/>
      <c r="AB422" s="9"/>
      <c r="AC422" s="9"/>
      <c r="AD422" s="9"/>
      <c r="AE422" s="9"/>
      <c r="AF422" s="9"/>
      <c r="AG422" s="9"/>
      <c r="AH422" s="9"/>
      <c r="AI422" s="9"/>
      <c r="AJ422" s="9"/>
    </row>
    <row r="423" spans="1:36" s="497" customFormat="1" ht="15.75">
      <c r="A423" s="495"/>
      <c r="B423" s="1784"/>
      <c r="C423" s="76" t="s">
        <v>880</v>
      </c>
      <c r="D423" s="962">
        <v>16</v>
      </c>
      <c r="E423" s="963" t="s">
        <v>68</v>
      </c>
      <c r="F423" s="964">
        <v>19.41</v>
      </c>
      <c r="G423" s="962">
        <v>17</v>
      </c>
      <c r="H423" s="963" t="s">
        <v>68</v>
      </c>
      <c r="I423" s="964">
        <v>2</v>
      </c>
      <c r="J423" s="1356" t="s">
        <v>105</v>
      </c>
      <c r="K423" s="1786">
        <f t="shared" si="44"/>
        <v>2.59</v>
      </c>
      <c r="L423" s="1787"/>
      <c r="M423" s="1359"/>
      <c r="N423" s="1785"/>
      <c r="O423" s="1361"/>
      <c r="P423" s="1358"/>
      <c r="Q423" s="1617"/>
      <c r="R423" s="1362">
        <f t="shared" si="45"/>
        <v>2.59</v>
      </c>
      <c r="S423" s="1419" t="s">
        <v>8</v>
      </c>
      <c r="T423" s="1364" t="s">
        <v>90</v>
      </c>
      <c r="U423" s="181"/>
      <c r="V423" s="870">
        <f t="shared" si="43"/>
        <v>4</v>
      </c>
      <c r="W423" s="26"/>
      <c r="X423" s="26"/>
      <c r="Y423" s="26"/>
      <c r="Z423" s="27"/>
      <c r="AA423" s="9"/>
      <c r="AB423" s="9"/>
      <c r="AC423" s="9"/>
      <c r="AD423" s="9"/>
      <c r="AE423" s="9"/>
      <c r="AF423" s="9"/>
      <c r="AG423" s="9"/>
      <c r="AH423" s="9"/>
      <c r="AI423" s="9"/>
      <c r="AJ423" s="9"/>
    </row>
    <row r="424" spans="1:36" s="497" customFormat="1" ht="15.75">
      <c r="A424" s="495"/>
      <c r="B424" s="1784"/>
      <c r="C424" s="1350" t="s">
        <v>1086</v>
      </c>
      <c r="D424" s="1351">
        <v>100</v>
      </c>
      <c r="E424" s="1352" t="s">
        <v>68</v>
      </c>
      <c r="F424" s="1353">
        <v>1</v>
      </c>
      <c r="G424" s="1351">
        <v>102</v>
      </c>
      <c r="H424" s="1352" t="s">
        <v>68</v>
      </c>
      <c r="I424" s="1353">
        <v>8.1999999999999993</v>
      </c>
      <c r="J424" s="1356" t="s">
        <v>105</v>
      </c>
      <c r="K424" s="1786">
        <f>(G424-D424)*20+I424-F424</f>
        <v>47.2</v>
      </c>
      <c r="L424" s="1787"/>
      <c r="M424" s="1359"/>
      <c r="N424" s="1785"/>
      <c r="O424" s="1361"/>
      <c r="P424" s="1358"/>
      <c r="Q424" s="1617"/>
      <c r="R424" s="1362">
        <f t="shared" si="45"/>
        <v>47.2</v>
      </c>
      <c r="S424" s="1419" t="s">
        <v>8</v>
      </c>
      <c r="T424" s="1364" t="s">
        <v>90</v>
      </c>
      <c r="U424" s="181"/>
      <c r="V424" s="870">
        <f t="shared" si="43"/>
        <v>4</v>
      </c>
      <c r="W424" s="26"/>
      <c r="X424" s="26"/>
      <c r="Y424" s="26"/>
      <c r="Z424" s="27"/>
      <c r="AA424" s="9"/>
      <c r="AB424" s="9"/>
      <c r="AC424" s="9"/>
      <c r="AD424" s="9"/>
      <c r="AE424" s="9"/>
      <c r="AF424" s="9"/>
      <c r="AG424" s="9"/>
      <c r="AH424" s="9"/>
      <c r="AI424" s="9"/>
      <c r="AJ424" s="9"/>
    </row>
    <row r="425" spans="1:36" s="497" customFormat="1" ht="15.75">
      <c r="A425" s="495"/>
      <c r="B425" s="1784"/>
      <c r="C425" s="1350" t="s">
        <v>1086</v>
      </c>
      <c r="D425" s="1351">
        <v>102</v>
      </c>
      <c r="E425" s="1352" t="s">
        <v>68</v>
      </c>
      <c r="F425" s="1353">
        <v>9.56</v>
      </c>
      <c r="G425" s="1351">
        <v>104</v>
      </c>
      <c r="H425" s="1352" t="s">
        <v>68</v>
      </c>
      <c r="I425" s="1353">
        <v>6.14</v>
      </c>
      <c r="J425" s="1356" t="s">
        <v>105</v>
      </c>
      <c r="K425" s="1786">
        <f t="shared" si="44"/>
        <v>36.58</v>
      </c>
      <c r="L425" s="1787"/>
      <c r="M425" s="1359"/>
      <c r="N425" s="1785"/>
      <c r="O425" s="1361"/>
      <c r="P425" s="1358"/>
      <c r="Q425" s="1617"/>
      <c r="R425" s="1362">
        <f t="shared" si="45"/>
        <v>36.58</v>
      </c>
      <c r="S425" s="1419" t="s">
        <v>8</v>
      </c>
      <c r="T425" s="1364" t="s">
        <v>90</v>
      </c>
      <c r="U425" s="181"/>
      <c r="V425" s="870">
        <f t="shared" si="43"/>
        <v>4</v>
      </c>
      <c r="W425" s="26"/>
      <c r="X425" s="26"/>
      <c r="Y425" s="26"/>
      <c r="Z425" s="27"/>
      <c r="AA425" s="9"/>
      <c r="AB425" s="9"/>
      <c r="AC425" s="9"/>
      <c r="AD425" s="9"/>
      <c r="AE425" s="9"/>
      <c r="AF425" s="9"/>
      <c r="AG425" s="9"/>
      <c r="AH425" s="9"/>
      <c r="AI425" s="9"/>
      <c r="AJ425" s="9"/>
    </row>
    <row r="426" spans="1:36" s="497" customFormat="1" ht="15.75">
      <c r="A426" s="495"/>
      <c r="B426" s="1784"/>
      <c r="C426" s="1350" t="s">
        <v>1086</v>
      </c>
      <c r="D426" s="1351">
        <v>104</v>
      </c>
      <c r="E426" s="1352" t="s">
        <v>68</v>
      </c>
      <c r="F426" s="1353">
        <v>7.5</v>
      </c>
      <c r="G426" s="1351">
        <v>106</v>
      </c>
      <c r="H426" s="1352" t="s">
        <v>68</v>
      </c>
      <c r="I426" s="1353">
        <v>6.17</v>
      </c>
      <c r="J426" s="1356" t="s">
        <v>105</v>
      </c>
      <c r="K426" s="1786">
        <f t="shared" si="44"/>
        <v>38.67</v>
      </c>
      <c r="L426" s="1787"/>
      <c r="M426" s="1359"/>
      <c r="N426" s="1785"/>
      <c r="O426" s="1361"/>
      <c r="P426" s="1358"/>
      <c r="Q426" s="1617"/>
      <c r="R426" s="1362">
        <f t="shared" si="45"/>
        <v>38.67</v>
      </c>
      <c r="S426" s="1419" t="s">
        <v>8</v>
      </c>
      <c r="T426" s="1364" t="s">
        <v>90</v>
      </c>
      <c r="U426" s="181"/>
      <c r="V426" s="870">
        <f t="shared" si="43"/>
        <v>4</v>
      </c>
      <c r="W426" s="26"/>
      <c r="X426" s="26"/>
      <c r="Y426" s="26"/>
      <c r="Z426" s="27"/>
      <c r="AA426" s="9"/>
      <c r="AB426" s="9"/>
      <c r="AC426" s="9"/>
      <c r="AD426" s="9"/>
      <c r="AE426" s="9"/>
      <c r="AF426" s="9"/>
      <c r="AG426" s="9"/>
      <c r="AH426" s="9"/>
      <c r="AI426" s="9"/>
      <c r="AJ426" s="9"/>
    </row>
    <row r="427" spans="1:36" s="497" customFormat="1" ht="15.75">
      <c r="A427" s="495"/>
      <c r="B427" s="1784"/>
      <c r="C427" s="1350" t="s">
        <v>1086</v>
      </c>
      <c r="D427" s="1351">
        <v>106</v>
      </c>
      <c r="E427" s="1352" t="s">
        <v>68</v>
      </c>
      <c r="F427" s="1353">
        <v>7.85</v>
      </c>
      <c r="G427" s="1351">
        <v>107</v>
      </c>
      <c r="H427" s="1352" t="s">
        <v>68</v>
      </c>
      <c r="I427" s="1353">
        <v>10.88</v>
      </c>
      <c r="J427" s="1356" t="s">
        <v>105</v>
      </c>
      <c r="K427" s="1786">
        <f t="shared" si="44"/>
        <v>23.03</v>
      </c>
      <c r="L427" s="1787"/>
      <c r="M427" s="1359"/>
      <c r="N427" s="1785"/>
      <c r="O427" s="1361"/>
      <c r="P427" s="1358"/>
      <c r="Q427" s="1617"/>
      <c r="R427" s="1362">
        <f t="shared" si="45"/>
        <v>23.03</v>
      </c>
      <c r="S427" s="1419" t="s">
        <v>8</v>
      </c>
      <c r="T427" s="1364" t="s">
        <v>90</v>
      </c>
      <c r="U427" s="181"/>
      <c r="V427" s="870">
        <f t="shared" si="43"/>
        <v>4</v>
      </c>
      <c r="W427" s="26"/>
      <c r="X427" s="26"/>
      <c r="Y427" s="26"/>
      <c r="Z427" s="27"/>
      <c r="AA427" s="9"/>
      <c r="AB427" s="9"/>
      <c r="AC427" s="9"/>
      <c r="AD427" s="9"/>
      <c r="AE427" s="9"/>
      <c r="AF427" s="9"/>
      <c r="AG427" s="9"/>
      <c r="AH427" s="9"/>
      <c r="AI427" s="9"/>
      <c r="AJ427" s="9"/>
    </row>
    <row r="428" spans="1:36" s="497" customFormat="1" ht="15.75">
      <c r="A428" s="495"/>
      <c r="B428" s="1784"/>
      <c r="C428" s="1350" t="s">
        <v>1086</v>
      </c>
      <c r="D428" s="1351">
        <v>107</v>
      </c>
      <c r="E428" s="1352" t="s">
        <v>68</v>
      </c>
      <c r="F428" s="1353">
        <v>12.24</v>
      </c>
      <c r="G428" s="1351">
        <v>109</v>
      </c>
      <c r="H428" s="1352" t="s">
        <v>68</v>
      </c>
      <c r="I428" s="1353">
        <v>0.64</v>
      </c>
      <c r="J428" s="1356" t="s">
        <v>105</v>
      </c>
      <c r="K428" s="1786">
        <f t="shared" si="44"/>
        <v>28.4</v>
      </c>
      <c r="L428" s="1787"/>
      <c r="M428" s="1359"/>
      <c r="N428" s="1785"/>
      <c r="O428" s="1361"/>
      <c r="P428" s="1358"/>
      <c r="Q428" s="1617"/>
      <c r="R428" s="1362">
        <f t="shared" si="45"/>
        <v>28.4</v>
      </c>
      <c r="S428" s="1419" t="s">
        <v>8</v>
      </c>
      <c r="T428" s="1364" t="s">
        <v>90</v>
      </c>
      <c r="U428" s="181"/>
      <c r="V428" s="870">
        <f t="shared" si="43"/>
        <v>4</v>
      </c>
      <c r="W428" s="26"/>
      <c r="X428" s="26"/>
      <c r="Y428" s="26"/>
      <c r="Z428" s="27"/>
      <c r="AA428" s="9"/>
      <c r="AB428" s="9"/>
      <c r="AC428" s="9"/>
      <c r="AD428" s="9"/>
      <c r="AE428" s="9"/>
      <c r="AF428" s="9"/>
      <c r="AG428" s="9"/>
      <c r="AH428" s="9"/>
      <c r="AI428" s="9"/>
      <c r="AJ428" s="9"/>
    </row>
    <row r="429" spans="1:36" s="497" customFormat="1" ht="15.75">
      <c r="A429" s="495"/>
      <c r="B429" s="1784"/>
      <c r="C429" s="1350" t="s">
        <v>1086</v>
      </c>
      <c r="D429" s="1351">
        <v>109</v>
      </c>
      <c r="E429" s="1352" t="s">
        <v>68</v>
      </c>
      <c r="F429" s="1353">
        <v>2</v>
      </c>
      <c r="G429" s="1351">
        <v>110</v>
      </c>
      <c r="H429" s="1352" t="s">
        <v>68</v>
      </c>
      <c r="I429" s="1353">
        <v>17.37</v>
      </c>
      <c r="J429" s="1356" t="s">
        <v>105</v>
      </c>
      <c r="K429" s="1786">
        <f t="shared" si="44"/>
        <v>35.370000000000005</v>
      </c>
      <c r="L429" s="1787"/>
      <c r="M429" s="1359"/>
      <c r="N429" s="1785"/>
      <c r="O429" s="1361"/>
      <c r="P429" s="1358"/>
      <c r="Q429" s="1617"/>
      <c r="R429" s="1362">
        <f t="shared" si="45"/>
        <v>35.370000000000005</v>
      </c>
      <c r="S429" s="1419" t="s">
        <v>8</v>
      </c>
      <c r="T429" s="1364" t="s">
        <v>90</v>
      </c>
      <c r="U429" s="181"/>
      <c r="V429" s="870">
        <f t="shared" si="43"/>
        <v>4</v>
      </c>
      <c r="W429" s="26"/>
      <c r="X429" s="26"/>
      <c r="Y429" s="26"/>
      <c r="Z429" s="27"/>
      <c r="AA429" s="9"/>
      <c r="AB429" s="9"/>
      <c r="AC429" s="9"/>
      <c r="AD429" s="9"/>
      <c r="AE429" s="9"/>
      <c r="AF429" s="9"/>
      <c r="AG429" s="9"/>
      <c r="AH429" s="9"/>
      <c r="AI429" s="9"/>
      <c r="AJ429" s="9"/>
    </row>
    <row r="430" spans="1:36" s="497" customFormat="1" ht="15.75">
      <c r="A430" s="495"/>
      <c r="B430" s="1784"/>
      <c r="C430" s="1350" t="s">
        <v>1086</v>
      </c>
      <c r="D430" s="1351">
        <v>110</v>
      </c>
      <c r="E430" s="1352" t="s">
        <v>68</v>
      </c>
      <c r="F430" s="1353">
        <v>18.73</v>
      </c>
      <c r="G430" s="1351">
        <v>112</v>
      </c>
      <c r="H430" s="1352" t="s">
        <v>68</v>
      </c>
      <c r="I430" s="1353">
        <v>3.01</v>
      </c>
      <c r="J430" s="1356" t="s">
        <v>105</v>
      </c>
      <c r="K430" s="1786">
        <f t="shared" si="44"/>
        <v>24.279999999999998</v>
      </c>
      <c r="L430" s="1787"/>
      <c r="M430" s="1359"/>
      <c r="N430" s="1785"/>
      <c r="O430" s="1361"/>
      <c r="P430" s="1358"/>
      <c r="Q430" s="1617"/>
      <c r="R430" s="1362">
        <f t="shared" si="45"/>
        <v>24.279999999999998</v>
      </c>
      <c r="S430" s="1419" t="s">
        <v>8</v>
      </c>
      <c r="T430" s="1364" t="s">
        <v>90</v>
      </c>
      <c r="U430" s="181"/>
      <c r="V430" s="870">
        <f t="shared" si="43"/>
        <v>4</v>
      </c>
      <c r="W430" s="26"/>
      <c r="X430" s="26"/>
      <c r="Y430" s="26"/>
      <c r="Z430" s="27"/>
      <c r="AA430" s="9"/>
      <c r="AB430" s="9"/>
      <c r="AC430" s="9"/>
      <c r="AD430" s="9"/>
      <c r="AE430" s="9"/>
      <c r="AF430" s="9"/>
      <c r="AG430" s="9"/>
      <c r="AH430" s="9"/>
      <c r="AI430" s="9"/>
      <c r="AJ430" s="9"/>
    </row>
    <row r="431" spans="1:36" s="497" customFormat="1" ht="15.75">
      <c r="A431" s="495"/>
      <c r="B431" s="1780"/>
      <c r="C431" s="967" t="s">
        <v>1086</v>
      </c>
      <c r="D431" s="1096">
        <v>112</v>
      </c>
      <c r="E431" s="1097" t="s">
        <v>68</v>
      </c>
      <c r="F431" s="1098">
        <v>4.6899999999999995</v>
      </c>
      <c r="G431" s="1096">
        <v>113</v>
      </c>
      <c r="H431" s="1097" t="s">
        <v>68</v>
      </c>
      <c r="I431" s="1098">
        <v>18.39</v>
      </c>
      <c r="J431" s="1101" t="s">
        <v>105</v>
      </c>
      <c r="K431" s="1829">
        <f t="shared" si="44"/>
        <v>33.700000000000003</v>
      </c>
      <c r="L431" s="1105"/>
      <c r="M431" s="1103"/>
      <c r="N431" s="1830"/>
      <c r="O431" s="1112"/>
      <c r="P431" s="978"/>
      <c r="Q431" s="987"/>
      <c r="R431" s="980">
        <f t="shared" si="45"/>
        <v>33.700000000000003</v>
      </c>
      <c r="S431" s="1106" t="s">
        <v>8</v>
      </c>
      <c r="T431" s="1027" t="s">
        <v>90</v>
      </c>
      <c r="U431" s="954"/>
      <c r="V431" s="870">
        <f t="shared" si="43"/>
        <v>4</v>
      </c>
      <c r="W431" s="26"/>
      <c r="X431" s="26"/>
      <c r="Y431" s="26"/>
      <c r="Z431" s="27"/>
      <c r="AA431" s="9"/>
      <c r="AB431" s="9"/>
      <c r="AC431" s="9"/>
      <c r="AD431" s="9"/>
      <c r="AE431" s="9"/>
      <c r="AF431" s="9"/>
      <c r="AG431" s="9"/>
      <c r="AH431" s="9"/>
      <c r="AI431" s="9"/>
      <c r="AJ431" s="9"/>
    </row>
    <row r="432" spans="1:36" s="8" customFormat="1" ht="15.75">
      <c r="A432" s="516"/>
      <c r="B432" s="877"/>
      <c r="C432" s="113"/>
      <c r="D432" s="2459" t="s">
        <v>18</v>
      </c>
      <c r="E432" s="2460"/>
      <c r="F432" s="2460"/>
      <c r="G432" s="2460"/>
      <c r="H432" s="2460"/>
      <c r="I432" s="2461"/>
      <c r="J432" s="2462">
        <f>VLOOKUP(A434,'12 - FINANCEIRA'!_xlnm.Print_Area,6,FALSE)</f>
        <v>597</v>
      </c>
      <c r="K432" s="2463"/>
      <c r="L432" s="1744" t="str">
        <f>VLOOKUP(A434,'12 - FINANCEIRA'!_xlnm.Print_Area,4,FALSE)</f>
        <v>m</v>
      </c>
      <c r="M432" s="2464" t="s">
        <v>19</v>
      </c>
      <c r="N432" s="2465"/>
      <c r="O432" s="2465"/>
      <c r="P432" s="2465"/>
      <c r="Q432" s="2466"/>
      <c r="R432" s="1154">
        <f>SUM(R412:R431)</f>
        <v>591</v>
      </c>
      <c r="S432" s="1745" t="str">
        <f>L432</f>
        <v>m</v>
      </c>
      <c r="T432" s="680"/>
      <c r="U432" s="663"/>
      <c r="V432" s="870">
        <f t="shared" si="43"/>
        <v>4</v>
      </c>
      <c r="AB432" s="15"/>
    </row>
    <row r="433" spans="1:36" s="8" customFormat="1" ht="15.75">
      <c r="A433" s="516"/>
      <c r="B433" s="877"/>
      <c r="C433" s="681"/>
      <c r="D433" s="2444" t="s">
        <v>20</v>
      </c>
      <c r="E433" s="2445"/>
      <c r="F433" s="2445"/>
      <c r="G433" s="2445"/>
      <c r="H433" s="2445"/>
      <c r="I433" s="2446"/>
      <c r="J433" s="2450">
        <f>R432/J432</f>
        <v>0.98994974874371855</v>
      </c>
      <c r="K433" s="2451"/>
      <c r="L433" s="2454"/>
      <c r="M433" s="2441" t="s">
        <v>21</v>
      </c>
      <c r="N433" s="2442"/>
      <c r="O433" s="2442"/>
      <c r="P433" s="2442"/>
      <c r="Q433" s="2443"/>
      <c r="R433" s="878">
        <f>VLOOKUP(A434,'12 - FINANCEIRA'!_xlnm.Print_Area,8,FALSE)</f>
        <v>587</v>
      </c>
      <c r="S433" s="879" t="str">
        <f>L432</f>
        <v>m</v>
      </c>
      <c r="T433" s="1028"/>
      <c r="U433" s="1115"/>
      <c r="V433" s="870">
        <f t="shared" si="43"/>
        <v>4</v>
      </c>
      <c r="AB433" s="15"/>
    </row>
    <row r="434" spans="1:36" s="8" customFormat="1" ht="15.75">
      <c r="A434" s="516" t="s">
        <v>496</v>
      </c>
      <c r="B434" s="877"/>
      <c r="C434" s="113"/>
      <c r="D434" s="2447"/>
      <c r="E434" s="2448"/>
      <c r="F434" s="2448"/>
      <c r="G434" s="2448"/>
      <c r="H434" s="2448"/>
      <c r="I434" s="2449"/>
      <c r="J434" s="2452"/>
      <c r="K434" s="2453"/>
      <c r="L434" s="2455"/>
      <c r="M434" s="2456" t="s">
        <v>22</v>
      </c>
      <c r="N434" s="2457"/>
      <c r="O434" s="2457"/>
      <c r="P434" s="2457"/>
      <c r="Q434" s="2458"/>
      <c r="R434" s="521">
        <f>R432-R433</f>
        <v>4</v>
      </c>
      <c r="S434" s="522" t="str">
        <f>L432</f>
        <v>m</v>
      </c>
      <c r="T434" s="680"/>
      <c r="U434" s="663"/>
      <c r="V434" s="870">
        <f>R434</f>
        <v>4</v>
      </c>
      <c r="AB434" s="15"/>
    </row>
    <row r="435" spans="1:36" s="8" customFormat="1" ht="15.75">
      <c r="A435" s="516"/>
      <c r="B435" s="523"/>
      <c r="C435" s="524"/>
      <c r="D435" s="526"/>
      <c r="E435" s="526"/>
      <c r="F435" s="526"/>
      <c r="G435" s="525"/>
      <c r="H435" s="525"/>
      <c r="I435" s="525"/>
      <c r="J435" s="527"/>
      <c r="K435" s="528"/>
      <c r="L435" s="529"/>
      <c r="M435" s="530"/>
      <c r="N435" s="530"/>
      <c r="O435" s="530"/>
      <c r="P435" s="530"/>
      <c r="Q435" s="530"/>
      <c r="R435" s="531"/>
      <c r="S435" s="532"/>
      <c r="T435" s="533"/>
      <c r="U435" s="534"/>
      <c r="V435" s="871">
        <f>SUM(V410:V434)</f>
        <v>100</v>
      </c>
      <c r="AB435" s="15"/>
    </row>
    <row r="436" spans="1:36" s="497" customFormat="1" ht="15.75">
      <c r="A436" s="495"/>
      <c r="B436" s="2423" t="str">
        <f>VLOOKUP(A458,'12 - FINANCEIRA'!_xlnm.Print_Area,1,FALSE)</f>
        <v>2.5.2</v>
      </c>
      <c r="C436" s="2421" t="str">
        <f>VLOOKUP(A458,'12 - FINANCEIRA'!_xlnm.Print_Area,3,FALSE)</f>
        <v>Fornecimento e assentamento de galeria de concreto pré-moldado 2,0 X 1,5 metros aberta (tampa removível) (m)</v>
      </c>
      <c r="D436" s="2479" t="s">
        <v>97</v>
      </c>
      <c r="E436" s="2480"/>
      <c r="F436" s="2480"/>
      <c r="G436" s="2480"/>
      <c r="H436" s="2480"/>
      <c r="I436" s="2481"/>
      <c r="J436" s="2416" t="s">
        <v>98</v>
      </c>
      <c r="K436" s="2416" t="s">
        <v>102</v>
      </c>
      <c r="L436" s="2416" t="s">
        <v>103</v>
      </c>
      <c r="M436" s="2416" t="s">
        <v>228</v>
      </c>
      <c r="N436" s="2416" t="s">
        <v>229</v>
      </c>
      <c r="O436" s="2416" t="s">
        <v>107</v>
      </c>
      <c r="P436" s="496" t="s">
        <v>153</v>
      </c>
      <c r="Q436" s="2416" t="s">
        <v>16</v>
      </c>
      <c r="R436" s="2425" t="s">
        <v>2</v>
      </c>
      <c r="S436" s="2416" t="s">
        <v>99</v>
      </c>
      <c r="T436" s="2416" t="s">
        <v>17</v>
      </c>
      <c r="U436" s="2428" t="s">
        <v>362</v>
      </c>
      <c r="V436" s="1314">
        <f t="shared" ref="V436:V457" si="46">V437</f>
        <v>17.39</v>
      </c>
      <c r="W436" s="26"/>
      <c r="X436" s="26"/>
      <c r="Y436" s="26"/>
      <c r="Z436" s="27"/>
      <c r="AA436" s="9"/>
      <c r="AB436" s="9"/>
      <c r="AC436" s="9"/>
      <c r="AD436" s="9"/>
      <c r="AE436" s="9"/>
      <c r="AF436" s="9"/>
      <c r="AG436" s="9"/>
      <c r="AH436" s="9"/>
      <c r="AI436" s="9"/>
      <c r="AJ436" s="9"/>
    </row>
    <row r="437" spans="1:36" s="497" customFormat="1" ht="15.75">
      <c r="A437" s="495"/>
      <c r="B437" s="2471" t="e">
        <f>LEFT(#REF!,5)</f>
        <v>#REF!</v>
      </c>
      <c r="C437" s="2472" t="e">
        <f>VLOOKUP(LEFT(#REF!,5),'12 - FINANCEIRA'!_xlnm.Print_Area,2,FALSE)</f>
        <v>#REF!</v>
      </c>
      <c r="D437" s="2430" t="s">
        <v>14</v>
      </c>
      <c r="E437" s="2431"/>
      <c r="F437" s="2432"/>
      <c r="G437" s="2433" t="s">
        <v>15</v>
      </c>
      <c r="H437" s="2434"/>
      <c r="I437" s="2435"/>
      <c r="J437" s="2427"/>
      <c r="K437" s="2427"/>
      <c r="L437" s="2427"/>
      <c r="M437" s="2427"/>
      <c r="N437" s="2427"/>
      <c r="O437" s="2427"/>
      <c r="P437" s="498" t="s">
        <v>104</v>
      </c>
      <c r="Q437" s="2427"/>
      <c r="R437" s="2426"/>
      <c r="S437" s="2427"/>
      <c r="T437" s="2427"/>
      <c r="U437" s="2429"/>
      <c r="V437" s="1314">
        <f t="shared" si="46"/>
        <v>17.39</v>
      </c>
      <c r="W437" s="26"/>
      <c r="X437" s="26"/>
      <c r="Y437" s="26"/>
      <c r="Z437" s="27"/>
      <c r="AA437" s="9"/>
      <c r="AB437" s="9"/>
      <c r="AC437" s="9"/>
      <c r="AD437" s="9"/>
      <c r="AE437" s="9"/>
      <c r="AF437" s="9"/>
      <c r="AG437" s="9"/>
      <c r="AH437" s="9"/>
      <c r="AI437" s="9"/>
      <c r="AJ437" s="9"/>
    </row>
    <row r="438" spans="1:36" s="9" customFormat="1" ht="15" customHeight="1">
      <c r="A438" s="944"/>
      <c r="B438" s="922"/>
      <c r="C438" s="76" t="s">
        <v>880</v>
      </c>
      <c r="D438" s="1351">
        <v>0</v>
      </c>
      <c r="E438" s="1352" t="s">
        <v>68</v>
      </c>
      <c r="F438" s="1353">
        <v>1.8</v>
      </c>
      <c r="G438" s="1351">
        <v>0</v>
      </c>
      <c r="H438" s="1352" t="s">
        <v>68</v>
      </c>
      <c r="I438" s="1353">
        <f>1.8+1.68</f>
        <v>3.48</v>
      </c>
      <c r="J438" s="1356" t="s">
        <v>105</v>
      </c>
      <c r="K438" s="1786">
        <f t="shared" ref="K438:K448" si="47">(G438-D438)*20+I438-F438</f>
        <v>1.68</v>
      </c>
      <c r="L438" s="1787"/>
      <c r="M438" s="1359"/>
      <c r="N438" s="1785"/>
      <c r="O438" s="1361"/>
      <c r="P438" s="1358"/>
      <c r="Q438" s="1617"/>
      <c r="R438" s="1362">
        <f>K438</f>
        <v>1.68</v>
      </c>
      <c r="S438" s="1109" t="s">
        <v>8</v>
      </c>
      <c r="T438" s="972" t="s">
        <v>90</v>
      </c>
      <c r="U438" s="78"/>
      <c r="V438" s="1314">
        <f t="shared" si="46"/>
        <v>17.39</v>
      </c>
      <c r="W438" s="26"/>
      <c r="X438" s="26"/>
      <c r="Y438" s="26"/>
      <c r="Z438" s="27"/>
      <c r="AA438" s="41"/>
      <c r="AB438" s="42"/>
    </row>
    <row r="439" spans="1:36" s="9" customFormat="1" ht="15" customHeight="1">
      <c r="A439" s="944"/>
      <c r="B439" s="922"/>
      <c r="C439" s="76" t="s">
        <v>880</v>
      </c>
      <c r="D439" s="1351">
        <v>1</v>
      </c>
      <c r="E439" s="1352" t="s">
        <v>68</v>
      </c>
      <c r="F439" s="1353">
        <v>10.84</v>
      </c>
      <c r="G439" s="1351">
        <v>1</v>
      </c>
      <c r="H439" s="1352" t="s">
        <v>68</v>
      </c>
      <c r="I439" s="1353">
        <f>F439+1.36</f>
        <v>12.2</v>
      </c>
      <c r="J439" s="1356" t="s">
        <v>105</v>
      </c>
      <c r="K439" s="1786">
        <f t="shared" si="47"/>
        <v>1.3599999999999994</v>
      </c>
      <c r="L439" s="1787"/>
      <c r="M439" s="1359"/>
      <c r="N439" s="1785"/>
      <c r="O439" s="1361"/>
      <c r="P439" s="1358"/>
      <c r="Q439" s="1617"/>
      <c r="R439" s="1362">
        <f>K439</f>
        <v>1.3599999999999994</v>
      </c>
      <c r="S439" s="1419" t="s">
        <v>8</v>
      </c>
      <c r="T439" s="972" t="s">
        <v>90</v>
      </c>
      <c r="U439" s="78"/>
      <c r="V439" s="1314">
        <f t="shared" si="46"/>
        <v>17.39</v>
      </c>
      <c r="W439" s="26"/>
      <c r="X439" s="26"/>
      <c r="Y439" s="26"/>
      <c r="Z439" s="27"/>
      <c r="AA439" s="41"/>
      <c r="AB439" s="42"/>
    </row>
    <row r="440" spans="1:36" s="8" customFormat="1" ht="15" customHeight="1">
      <c r="A440" s="516"/>
      <c r="B440" s="922"/>
      <c r="C440" s="76" t="s">
        <v>880</v>
      </c>
      <c r="D440" s="1351">
        <v>2</v>
      </c>
      <c r="E440" s="1352" t="s">
        <v>68</v>
      </c>
      <c r="F440" s="1353">
        <v>18.149999999999999</v>
      </c>
      <c r="G440" s="1351">
        <v>2</v>
      </c>
      <c r="H440" s="1352" t="s">
        <v>68</v>
      </c>
      <c r="I440" s="1353">
        <f>F440+1.68</f>
        <v>19.829999999999998</v>
      </c>
      <c r="J440" s="1356" t="s">
        <v>105</v>
      </c>
      <c r="K440" s="1786">
        <f t="shared" si="47"/>
        <v>1.6799999999999997</v>
      </c>
      <c r="L440" s="1787"/>
      <c r="M440" s="1359"/>
      <c r="N440" s="1785"/>
      <c r="O440" s="1361"/>
      <c r="P440" s="1358"/>
      <c r="Q440" s="1617"/>
      <c r="R440" s="1362">
        <f t="shared" ref="R440:R448" si="48">K440</f>
        <v>1.6799999999999997</v>
      </c>
      <c r="S440" s="1419" t="s">
        <v>8</v>
      </c>
      <c r="T440" s="972" t="s">
        <v>90</v>
      </c>
      <c r="U440" s="78"/>
      <c r="V440" s="1314">
        <f t="shared" si="46"/>
        <v>17.39</v>
      </c>
      <c r="W440" s="938"/>
      <c r="X440" s="938"/>
      <c r="Y440" s="938"/>
      <c r="Z440" s="939"/>
    </row>
    <row r="441" spans="1:36" s="8" customFormat="1" ht="15">
      <c r="A441" s="516"/>
      <c r="B441" s="924"/>
      <c r="C441" s="76" t="s">
        <v>880</v>
      </c>
      <c r="D441" s="1351">
        <v>4</v>
      </c>
      <c r="E441" s="1352" t="s">
        <v>68</v>
      </c>
      <c r="F441" s="1353">
        <v>2.4900000000000002</v>
      </c>
      <c r="G441" s="1351">
        <v>4</v>
      </c>
      <c r="H441" s="1352" t="s">
        <v>68</v>
      </c>
      <c r="I441" s="1353">
        <f>F441+1.36</f>
        <v>3.8500000000000005</v>
      </c>
      <c r="J441" s="1356" t="s">
        <v>105</v>
      </c>
      <c r="K441" s="1786">
        <f t="shared" si="47"/>
        <v>1.3600000000000003</v>
      </c>
      <c r="L441" s="1787"/>
      <c r="M441" s="1359"/>
      <c r="N441" s="1785"/>
      <c r="O441" s="1361"/>
      <c r="P441" s="1358"/>
      <c r="Q441" s="1617"/>
      <c r="R441" s="1362">
        <f t="shared" si="48"/>
        <v>1.3600000000000003</v>
      </c>
      <c r="S441" s="1617" t="s">
        <v>8</v>
      </c>
      <c r="T441" s="1364" t="s">
        <v>90</v>
      </c>
      <c r="U441" s="181"/>
      <c r="V441" s="1314">
        <f t="shared" si="46"/>
        <v>17.39</v>
      </c>
      <c r="W441" s="938"/>
      <c r="X441" s="938"/>
      <c r="Y441" s="938"/>
      <c r="Z441" s="939"/>
    </row>
    <row r="442" spans="1:36" s="8" customFormat="1" ht="15">
      <c r="A442" s="516"/>
      <c r="B442" s="924"/>
      <c r="C442" s="76" t="s">
        <v>880</v>
      </c>
      <c r="D442" s="1351">
        <v>5</v>
      </c>
      <c r="E442" s="1352" t="s">
        <v>68</v>
      </c>
      <c r="F442" s="1353">
        <f>16.31</f>
        <v>16.309999999999999</v>
      </c>
      <c r="G442" s="1351">
        <v>5</v>
      </c>
      <c r="H442" s="1352" t="s">
        <v>68</v>
      </c>
      <c r="I442" s="1353">
        <f>F442+1.68</f>
        <v>17.989999999999998</v>
      </c>
      <c r="J442" s="1356" t="s">
        <v>105</v>
      </c>
      <c r="K442" s="1786">
        <f t="shared" si="47"/>
        <v>1.6799999999999997</v>
      </c>
      <c r="L442" s="1787"/>
      <c r="M442" s="1359"/>
      <c r="N442" s="1785"/>
      <c r="O442" s="1361"/>
      <c r="P442" s="1358"/>
      <c r="Q442" s="1617"/>
      <c r="R442" s="1362">
        <f t="shared" si="48"/>
        <v>1.6799999999999997</v>
      </c>
      <c r="S442" s="1617" t="s">
        <v>8</v>
      </c>
      <c r="T442" s="1364" t="s">
        <v>90</v>
      </c>
      <c r="U442" s="181"/>
      <c r="V442" s="1314">
        <f t="shared" si="46"/>
        <v>17.39</v>
      </c>
      <c r="W442" s="938"/>
      <c r="X442" s="938"/>
      <c r="Y442" s="938"/>
      <c r="Z442" s="939"/>
    </row>
    <row r="443" spans="1:36" s="8" customFormat="1" ht="15">
      <c r="A443" s="516"/>
      <c r="B443" s="924"/>
      <c r="C443" s="76" t="s">
        <v>880</v>
      </c>
      <c r="D443" s="1351">
        <v>7</v>
      </c>
      <c r="E443" s="1352" t="s">
        <v>68</v>
      </c>
      <c r="F443" s="1353">
        <v>3.17</v>
      </c>
      <c r="G443" s="1351">
        <v>7</v>
      </c>
      <c r="H443" s="1352" t="s">
        <v>68</v>
      </c>
      <c r="I443" s="1353">
        <f>F443+1.36</f>
        <v>4.53</v>
      </c>
      <c r="J443" s="1356" t="s">
        <v>105</v>
      </c>
      <c r="K443" s="1786">
        <f t="shared" si="47"/>
        <v>1.3600000000000003</v>
      </c>
      <c r="L443" s="1787"/>
      <c r="M443" s="1359"/>
      <c r="N443" s="1785"/>
      <c r="O443" s="1361"/>
      <c r="P443" s="1358"/>
      <c r="Q443" s="1617"/>
      <c r="R443" s="1362">
        <f t="shared" si="48"/>
        <v>1.3600000000000003</v>
      </c>
      <c r="S443" s="1617" t="s">
        <v>8</v>
      </c>
      <c r="T443" s="1364" t="s">
        <v>90</v>
      </c>
      <c r="U443" s="181"/>
      <c r="V443" s="1314">
        <f t="shared" si="46"/>
        <v>17.39</v>
      </c>
      <c r="W443" s="938"/>
      <c r="X443" s="938"/>
      <c r="Y443" s="938"/>
      <c r="Z443" s="939"/>
    </row>
    <row r="444" spans="1:36" s="8" customFormat="1" ht="15">
      <c r="A444" s="516"/>
      <c r="B444" s="924"/>
      <c r="C444" s="76" t="s">
        <v>880</v>
      </c>
      <c r="D444" s="1351">
        <v>8</v>
      </c>
      <c r="E444" s="1352" t="s">
        <v>68</v>
      </c>
      <c r="F444" s="1353">
        <f>12+2</f>
        <v>14</v>
      </c>
      <c r="G444" s="1351">
        <v>8</v>
      </c>
      <c r="H444" s="1352" t="s">
        <v>68</v>
      </c>
      <c r="I444" s="1353">
        <v>15.68</v>
      </c>
      <c r="J444" s="1356" t="s">
        <v>105</v>
      </c>
      <c r="K444" s="1786">
        <f t="shared" si="47"/>
        <v>1.6799999999999997</v>
      </c>
      <c r="L444" s="1787"/>
      <c r="M444" s="1359"/>
      <c r="N444" s="1785"/>
      <c r="O444" s="1361"/>
      <c r="P444" s="1358"/>
      <c r="Q444" s="1617"/>
      <c r="R444" s="1362">
        <f t="shared" si="48"/>
        <v>1.6799999999999997</v>
      </c>
      <c r="S444" s="1617" t="s">
        <v>8</v>
      </c>
      <c r="T444" s="1364" t="s">
        <v>90</v>
      </c>
      <c r="U444" s="181"/>
      <c r="V444" s="1314">
        <f t="shared" si="46"/>
        <v>17.39</v>
      </c>
      <c r="W444" s="938"/>
      <c r="X444" s="938"/>
      <c r="Y444" s="938"/>
      <c r="Z444" s="939"/>
    </row>
    <row r="445" spans="1:36" s="8" customFormat="1" ht="15">
      <c r="A445" s="516"/>
      <c r="B445" s="924"/>
      <c r="C445" s="76" t="s">
        <v>880</v>
      </c>
      <c r="D445" s="1351">
        <v>10</v>
      </c>
      <c r="E445" s="1352" t="s">
        <v>68</v>
      </c>
      <c r="F445" s="1353">
        <v>1.37</v>
      </c>
      <c r="G445" s="1351">
        <v>10</v>
      </c>
      <c r="H445" s="1352" t="s">
        <v>68</v>
      </c>
      <c r="I445" s="1353">
        <f>F445+1.36</f>
        <v>2.7300000000000004</v>
      </c>
      <c r="J445" s="1356" t="s">
        <v>105</v>
      </c>
      <c r="K445" s="1786">
        <f t="shared" si="47"/>
        <v>1.3600000000000003</v>
      </c>
      <c r="L445" s="1787"/>
      <c r="M445" s="1359"/>
      <c r="N445" s="1785"/>
      <c r="O445" s="1361"/>
      <c r="P445" s="1358"/>
      <c r="Q445" s="1617"/>
      <c r="R445" s="1362">
        <f t="shared" si="48"/>
        <v>1.3600000000000003</v>
      </c>
      <c r="S445" s="1617" t="s">
        <v>8</v>
      </c>
      <c r="T445" s="1364" t="s">
        <v>90</v>
      </c>
      <c r="U445" s="181"/>
      <c r="V445" s="1314">
        <f t="shared" si="46"/>
        <v>17.39</v>
      </c>
      <c r="W445" s="938"/>
      <c r="X445" s="938"/>
      <c r="Y445" s="938"/>
      <c r="Z445" s="939"/>
    </row>
    <row r="446" spans="1:36" s="8" customFormat="1" ht="15">
      <c r="A446" s="516"/>
      <c r="B446" s="924"/>
      <c r="C446" s="76" t="s">
        <v>880</v>
      </c>
      <c r="D446" s="1351">
        <v>11</v>
      </c>
      <c r="E446" s="1352" t="s">
        <v>68</v>
      </c>
      <c r="F446" s="1353">
        <v>6.78</v>
      </c>
      <c r="G446" s="1351">
        <v>11</v>
      </c>
      <c r="H446" s="1352" t="s">
        <v>68</v>
      </c>
      <c r="I446" s="1353">
        <f>F446+2.71</f>
        <v>9.49</v>
      </c>
      <c r="J446" s="1356" t="s">
        <v>105</v>
      </c>
      <c r="K446" s="1786">
        <f t="shared" si="47"/>
        <v>2.71</v>
      </c>
      <c r="L446" s="1787"/>
      <c r="M446" s="1359"/>
      <c r="N446" s="1785"/>
      <c r="O446" s="1361"/>
      <c r="P446" s="1358"/>
      <c r="Q446" s="1617"/>
      <c r="R446" s="1362">
        <f t="shared" si="48"/>
        <v>2.71</v>
      </c>
      <c r="S446" s="1617" t="s">
        <v>8</v>
      </c>
      <c r="T446" s="1364" t="s">
        <v>90</v>
      </c>
      <c r="U446" s="181"/>
      <c r="V446" s="1314">
        <f t="shared" si="46"/>
        <v>17.39</v>
      </c>
      <c r="W446" s="938"/>
      <c r="X446" s="938"/>
      <c r="Y446" s="938"/>
      <c r="Z446" s="939"/>
    </row>
    <row r="447" spans="1:36" s="8" customFormat="1" ht="15">
      <c r="A447" s="516"/>
      <c r="B447" s="924"/>
      <c r="C447" s="76" t="s">
        <v>880</v>
      </c>
      <c r="D447" s="1351">
        <v>14</v>
      </c>
      <c r="E447" s="1352" t="s">
        <v>68</v>
      </c>
      <c r="F447" s="1353">
        <v>3.44</v>
      </c>
      <c r="G447" s="1351">
        <v>14</v>
      </c>
      <c r="H447" s="1352" t="s">
        <v>68</v>
      </c>
      <c r="I447" s="1353">
        <f>F447+1.68</f>
        <v>5.12</v>
      </c>
      <c r="J447" s="1356" t="s">
        <v>105</v>
      </c>
      <c r="K447" s="1786">
        <f t="shared" si="47"/>
        <v>1.6800000000000002</v>
      </c>
      <c r="L447" s="1787"/>
      <c r="M447" s="1359"/>
      <c r="N447" s="1785"/>
      <c r="O447" s="1361"/>
      <c r="P447" s="1358"/>
      <c r="Q447" s="1617"/>
      <c r="R447" s="1362">
        <f t="shared" si="48"/>
        <v>1.6800000000000002</v>
      </c>
      <c r="S447" s="1617" t="s">
        <v>8</v>
      </c>
      <c r="T447" s="1364" t="s">
        <v>90</v>
      </c>
      <c r="U447" s="181"/>
      <c r="V447" s="1314">
        <f t="shared" si="46"/>
        <v>17.39</v>
      </c>
      <c r="W447" s="938"/>
      <c r="X447" s="938"/>
      <c r="Y447" s="938"/>
      <c r="Z447" s="939"/>
    </row>
    <row r="448" spans="1:36" s="8" customFormat="1" ht="15">
      <c r="A448" s="516"/>
      <c r="B448" s="924"/>
      <c r="C448" s="76" t="s">
        <v>880</v>
      </c>
      <c r="D448" s="1351">
        <v>16</v>
      </c>
      <c r="E448" s="1352" t="s">
        <v>68</v>
      </c>
      <c r="F448" s="1353">
        <f>20-0.59-1.68</f>
        <v>17.73</v>
      </c>
      <c r="G448" s="1351">
        <v>16</v>
      </c>
      <c r="H448" s="1352" t="s">
        <v>68</v>
      </c>
      <c r="I448" s="1353">
        <f>F448+1.68</f>
        <v>19.41</v>
      </c>
      <c r="J448" s="1356" t="s">
        <v>105</v>
      </c>
      <c r="K448" s="1786">
        <f t="shared" si="47"/>
        <v>1.6799999999999997</v>
      </c>
      <c r="L448" s="1787"/>
      <c r="M448" s="1359"/>
      <c r="N448" s="1785"/>
      <c r="O448" s="1361"/>
      <c r="P448" s="1358"/>
      <c r="Q448" s="1617"/>
      <c r="R448" s="1362">
        <f t="shared" si="48"/>
        <v>1.6799999999999997</v>
      </c>
      <c r="S448" s="1617" t="s">
        <v>8</v>
      </c>
      <c r="T448" s="1364" t="s">
        <v>90</v>
      </c>
      <c r="U448" s="181"/>
      <c r="V448" s="1314">
        <f t="shared" si="46"/>
        <v>17.39</v>
      </c>
      <c r="W448" s="938"/>
      <c r="X448" s="938"/>
      <c r="Y448" s="938"/>
      <c r="Z448" s="939"/>
    </row>
    <row r="449" spans="1:36" s="8" customFormat="1" ht="15">
      <c r="A449" s="516"/>
      <c r="B449" s="924"/>
      <c r="C449" s="1350" t="s">
        <v>1076</v>
      </c>
      <c r="D449" s="1351">
        <v>102</v>
      </c>
      <c r="E449" s="1352" t="s">
        <v>68</v>
      </c>
      <c r="F449" s="1353">
        <v>8.1999999999999993</v>
      </c>
      <c r="G449" s="1351">
        <v>102</v>
      </c>
      <c r="H449" s="1352" t="s">
        <v>68</v>
      </c>
      <c r="I449" s="1353">
        <v>9.56</v>
      </c>
      <c r="J449" s="1356" t="s">
        <v>105</v>
      </c>
      <c r="K449" s="1786">
        <f>(G449-D449)*20+I449-F449</f>
        <v>1.3600000000000012</v>
      </c>
      <c r="L449" s="1787"/>
      <c r="M449" s="1359"/>
      <c r="N449" s="1785"/>
      <c r="O449" s="1361"/>
      <c r="P449" s="1358"/>
      <c r="Q449" s="1617"/>
      <c r="R449" s="1362">
        <f>K449</f>
        <v>1.3600000000000012</v>
      </c>
      <c r="S449" s="1617" t="s">
        <v>8</v>
      </c>
      <c r="T449" s="1364" t="s">
        <v>90</v>
      </c>
      <c r="U449" s="181"/>
      <c r="V449" s="1314">
        <f t="shared" si="46"/>
        <v>17.39</v>
      </c>
      <c r="W449" s="938"/>
      <c r="X449" s="938"/>
      <c r="Y449" s="938"/>
      <c r="Z449" s="939"/>
    </row>
    <row r="450" spans="1:36" s="8" customFormat="1" ht="15">
      <c r="A450" s="516"/>
      <c r="B450" s="924"/>
      <c r="C450" s="1350" t="s">
        <v>1076</v>
      </c>
      <c r="D450" s="1351">
        <v>104</v>
      </c>
      <c r="E450" s="1352" t="s">
        <v>68</v>
      </c>
      <c r="F450" s="1353">
        <f>8-1.86</f>
        <v>6.14</v>
      </c>
      <c r="G450" s="1351">
        <v>104</v>
      </c>
      <c r="H450" s="1352" t="s">
        <v>68</v>
      </c>
      <c r="I450" s="1353">
        <f>6.14+1.36</f>
        <v>7.5</v>
      </c>
      <c r="J450" s="1356" t="s">
        <v>105</v>
      </c>
      <c r="K450" s="1786">
        <f t="shared" ref="K450:K455" si="49">(G450-D450)*20+I450-F450</f>
        <v>1.3600000000000003</v>
      </c>
      <c r="L450" s="1787"/>
      <c r="M450" s="1359"/>
      <c r="N450" s="1785"/>
      <c r="O450" s="1361"/>
      <c r="P450" s="1358"/>
      <c r="Q450" s="1617"/>
      <c r="R450" s="1362">
        <f t="shared" ref="R450:R455" si="50">K450</f>
        <v>1.3600000000000003</v>
      </c>
      <c r="S450" s="1617" t="s">
        <v>8</v>
      </c>
      <c r="T450" s="1364" t="s">
        <v>90</v>
      </c>
      <c r="U450" s="181"/>
      <c r="V450" s="1314">
        <f t="shared" si="46"/>
        <v>17.39</v>
      </c>
      <c r="W450" s="938"/>
      <c r="X450" s="938"/>
      <c r="Y450" s="938"/>
      <c r="Z450" s="939"/>
    </row>
    <row r="451" spans="1:36" s="8" customFormat="1" ht="15">
      <c r="A451" s="516"/>
      <c r="B451" s="924"/>
      <c r="C451" s="1350" t="s">
        <v>1076</v>
      </c>
      <c r="D451" s="1351">
        <v>106</v>
      </c>
      <c r="E451" s="1352" t="s">
        <v>68</v>
      </c>
      <c r="F451" s="1353">
        <v>6.17</v>
      </c>
      <c r="G451" s="1351">
        <v>106</v>
      </c>
      <c r="H451" s="1352" t="s">
        <v>68</v>
      </c>
      <c r="I451" s="1353">
        <f>6.17+1.68</f>
        <v>7.85</v>
      </c>
      <c r="J451" s="1356" t="s">
        <v>105</v>
      </c>
      <c r="K451" s="1786">
        <f t="shared" si="49"/>
        <v>1.6799999999999997</v>
      </c>
      <c r="L451" s="1787"/>
      <c r="M451" s="1359"/>
      <c r="N451" s="1785"/>
      <c r="O451" s="1361"/>
      <c r="P451" s="1358"/>
      <c r="Q451" s="1617"/>
      <c r="R451" s="1362">
        <f t="shared" si="50"/>
        <v>1.6799999999999997</v>
      </c>
      <c r="S451" s="1617" t="s">
        <v>8</v>
      </c>
      <c r="T451" s="1364" t="s">
        <v>90</v>
      </c>
      <c r="U451" s="181"/>
      <c r="V451" s="1314">
        <f t="shared" si="46"/>
        <v>17.39</v>
      </c>
      <c r="W451" s="938"/>
      <c r="X451" s="938"/>
      <c r="Y451" s="938"/>
      <c r="Z451" s="939"/>
    </row>
    <row r="452" spans="1:36" s="8" customFormat="1" ht="15">
      <c r="A452" s="516"/>
      <c r="B452" s="924"/>
      <c r="C452" s="1350" t="s">
        <v>1076</v>
      </c>
      <c r="D452" s="1351">
        <v>107</v>
      </c>
      <c r="E452" s="1352" t="s">
        <v>68</v>
      </c>
      <c r="F452" s="1353">
        <f>10+0.88</f>
        <v>10.88</v>
      </c>
      <c r="G452" s="1351">
        <v>107</v>
      </c>
      <c r="H452" s="1352" t="s">
        <v>68</v>
      </c>
      <c r="I452" s="1353">
        <f>10.88+1.36</f>
        <v>12.24</v>
      </c>
      <c r="J452" s="1356" t="s">
        <v>105</v>
      </c>
      <c r="K452" s="1786">
        <f t="shared" si="49"/>
        <v>1.3599999999999994</v>
      </c>
      <c r="L452" s="1787"/>
      <c r="M452" s="1359"/>
      <c r="N452" s="1785"/>
      <c r="O452" s="1361"/>
      <c r="P452" s="1358"/>
      <c r="Q452" s="1617"/>
      <c r="R452" s="1362">
        <f t="shared" si="50"/>
        <v>1.3599999999999994</v>
      </c>
      <c r="S452" s="1617" t="s">
        <v>8</v>
      </c>
      <c r="T452" s="1364" t="s">
        <v>90</v>
      </c>
      <c r="U452" s="181"/>
      <c r="V452" s="1314">
        <f t="shared" si="46"/>
        <v>17.39</v>
      </c>
      <c r="W452" s="938"/>
      <c r="X452" s="938"/>
      <c r="Y452" s="938"/>
      <c r="Z452" s="939"/>
    </row>
    <row r="453" spans="1:36" s="8" customFormat="1" ht="15">
      <c r="A453" s="516"/>
      <c r="B453" s="924"/>
      <c r="C453" s="1350" t="s">
        <v>1076</v>
      </c>
      <c r="D453" s="1351">
        <v>109</v>
      </c>
      <c r="E453" s="1352" t="s">
        <v>68</v>
      </c>
      <c r="F453" s="1353">
        <v>0.64</v>
      </c>
      <c r="G453" s="1351">
        <v>109</v>
      </c>
      <c r="H453" s="1352" t="s">
        <v>68</v>
      </c>
      <c r="I453" s="1353">
        <v>2</v>
      </c>
      <c r="J453" s="1356" t="s">
        <v>105</v>
      </c>
      <c r="K453" s="1786">
        <f t="shared" si="49"/>
        <v>1.3599999999999999</v>
      </c>
      <c r="L453" s="1787"/>
      <c r="M453" s="1359"/>
      <c r="N453" s="1785"/>
      <c r="O453" s="1361"/>
      <c r="P453" s="1358"/>
      <c r="Q453" s="1617"/>
      <c r="R453" s="1362">
        <f t="shared" si="50"/>
        <v>1.3599999999999999</v>
      </c>
      <c r="S453" s="1617" t="s">
        <v>8</v>
      </c>
      <c r="T453" s="1364" t="s">
        <v>90</v>
      </c>
      <c r="U453" s="181"/>
      <c r="V453" s="1314">
        <f t="shared" si="46"/>
        <v>17.39</v>
      </c>
      <c r="W453" s="938"/>
      <c r="X453" s="938"/>
      <c r="Y453" s="938"/>
      <c r="Z453" s="939"/>
    </row>
    <row r="454" spans="1:36" s="8" customFormat="1" ht="15">
      <c r="A454" s="516"/>
      <c r="B454" s="924"/>
      <c r="C454" s="1350" t="s">
        <v>1076</v>
      </c>
      <c r="D454" s="1351">
        <v>110</v>
      </c>
      <c r="E454" s="1352" t="s">
        <v>68</v>
      </c>
      <c r="F454" s="1353">
        <f>20-1.27-1.36</f>
        <v>17.37</v>
      </c>
      <c r="G454" s="1351">
        <v>110</v>
      </c>
      <c r="H454" s="1352" t="s">
        <v>68</v>
      </c>
      <c r="I454" s="1353">
        <f>20-1.27</f>
        <v>18.73</v>
      </c>
      <c r="J454" s="1356" t="s">
        <v>105</v>
      </c>
      <c r="K454" s="1786">
        <f t="shared" si="49"/>
        <v>1.3599999999999994</v>
      </c>
      <c r="L454" s="1787"/>
      <c r="M454" s="1359"/>
      <c r="N454" s="1785"/>
      <c r="O454" s="1361"/>
      <c r="P454" s="1358"/>
      <c r="Q454" s="1617"/>
      <c r="R454" s="1362">
        <f t="shared" si="50"/>
        <v>1.3599999999999994</v>
      </c>
      <c r="S454" s="1617" t="s">
        <v>8</v>
      </c>
      <c r="T454" s="1364" t="s">
        <v>90</v>
      </c>
      <c r="U454" s="181"/>
      <c r="V454" s="1314">
        <f t="shared" si="46"/>
        <v>17.39</v>
      </c>
      <c r="W454" s="938"/>
      <c r="X454" s="938"/>
      <c r="Y454" s="938"/>
      <c r="Z454" s="939"/>
    </row>
    <row r="455" spans="1:36" s="8" customFormat="1" ht="15">
      <c r="A455" s="516"/>
      <c r="B455" s="925"/>
      <c r="C455" s="967" t="s">
        <v>1076</v>
      </c>
      <c r="D455" s="1096">
        <v>112</v>
      </c>
      <c r="E455" s="1097" t="s">
        <v>68</v>
      </c>
      <c r="F455" s="1098">
        <v>3.01</v>
      </c>
      <c r="G455" s="1096">
        <v>112</v>
      </c>
      <c r="H455" s="1097" t="s">
        <v>68</v>
      </c>
      <c r="I455" s="1098">
        <f>3.01+1.68</f>
        <v>4.6899999999999995</v>
      </c>
      <c r="J455" s="1101" t="s">
        <v>105</v>
      </c>
      <c r="K455" s="1829">
        <f t="shared" si="49"/>
        <v>1.6799999999999997</v>
      </c>
      <c r="L455" s="1105"/>
      <c r="M455" s="1103"/>
      <c r="N455" s="1830"/>
      <c r="O455" s="1112"/>
      <c r="P455" s="978"/>
      <c r="Q455" s="987"/>
      <c r="R455" s="980">
        <f t="shared" si="50"/>
        <v>1.6799999999999997</v>
      </c>
      <c r="S455" s="987" t="s">
        <v>8</v>
      </c>
      <c r="T455" s="1027" t="s">
        <v>90</v>
      </c>
      <c r="U455" s="954"/>
      <c r="V455" s="1314">
        <f t="shared" si="46"/>
        <v>17.39</v>
      </c>
      <c r="W455" s="938"/>
      <c r="X455" s="938"/>
      <c r="Y455" s="938"/>
      <c r="Z455" s="939"/>
    </row>
    <row r="456" spans="1:36" s="8" customFormat="1" ht="15.75">
      <c r="A456" s="516"/>
      <c r="B456" s="877"/>
      <c r="C456" s="113"/>
      <c r="D456" s="2459" t="s">
        <v>18</v>
      </c>
      <c r="E456" s="2460"/>
      <c r="F456" s="2460"/>
      <c r="G456" s="2460"/>
      <c r="H456" s="2460"/>
      <c r="I456" s="2461"/>
      <c r="J456" s="2462">
        <f>VLOOKUP(A458,'12 - FINANCEIRA'!_xlnm.Print_Area,6,FALSE)</f>
        <v>28.9</v>
      </c>
      <c r="K456" s="2463"/>
      <c r="L456" s="1744" t="str">
        <f>VLOOKUP(A458,'12 - FINANCEIRA'!_xlnm.Print_Area,4,FALSE)</f>
        <v>m</v>
      </c>
      <c r="M456" s="2464" t="s">
        <v>19</v>
      </c>
      <c r="N456" s="2465"/>
      <c r="O456" s="2465"/>
      <c r="P456" s="2465"/>
      <c r="Q456" s="2466"/>
      <c r="R456" s="1154">
        <f>SUM(R438:R455)</f>
        <v>28.39</v>
      </c>
      <c r="S456" s="1745" t="str">
        <f>L456</f>
        <v>m</v>
      </c>
      <c r="T456" s="680"/>
      <c r="U456" s="663"/>
      <c r="V456" s="1314">
        <f t="shared" si="46"/>
        <v>17.39</v>
      </c>
      <c r="AB456" s="15"/>
    </row>
    <row r="457" spans="1:36" s="8" customFormat="1" ht="15.75">
      <c r="A457" s="516"/>
      <c r="B457" s="877"/>
      <c r="C457" s="681"/>
      <c r="D457" s="2444" t="s">
        <v>20</v>
      </c>
      <c r="E457" s="2445"/>
      <c r="F457" s="2445"/>
      <c r="G457" s="2445"/>
      <c r="H457" s="2445"/>
      <c r="I457" s="2446"/>
      <c r="J457" s="2450">
        <f>R456/J456</f>
        <v>0.98235294117647065</v>
      </c>
      <c r="K457" s="2451"/>
      <c r="L457" s="2454"/>
      <c r="M457" s="2441" t="s">
        <v>21</v>
      </c>
      <c r="N457" s="2442"/>
      <c r="O457" s="2442"/>
      <c r="P457" s="2442"/>
      <c r="Q457" s="2443"/>
      <c r="R457" s="878">
        <f>VLOOKUP(A458,'12 - FINANCEIRA'!_xlnm.Print_Area,8,FALSE)</f>
        <v>11</v>
      </c>
      <c r="S457" s="879" t="str">
        <f>L456</f>
        <v>m</v>
      </c>
      <c r="T457" s="680"/>
      <c r="U457" s="663"/>
      <c r="V457" s="1314">
        <f t="shared" si="46"/>
        <v>17.39</v>
      </c>
      <c r="AB457" s="15"/>
    </row>
    <row r="458" spans="1:36" s="8" customFormat="1" ht="15.75">
      <c r="A458" s="516" t="s">
        <v>497</v>
      </c>
      <c r="B458" s="877"/>
      <c r="C458" s="113"/>
      <c r="D458" s="2447"/>
      <c r="E458" s="2448"/>
      <c r="F458" s="2448"/>
      <c r="G458" s="2448"/>
      <c r="H458" s="2448"/>
      <c r="I458" s="2449"/>
      <c r="J458" s="2452"/>
      <c r="K458" s="2453"/>
      <c r="L458" s="2455"/>
      <c r="M458" s="2456" t="s">
        <v>22</v>
      </c>
      <c r="N458" s="2457"/>
      <c r="O458" s="2457"/>
      <c r="P458" s="2457"/>
      <c r="Q458" s="2458"/>
      <c r="R458" s="521">
        <f>R456-R457</f>
        <v>17.39</v>
      </c>
      <c r="S458" s="522" t="str">
        <f>L456</f>
        <v>m</v>
      </c>
      <c r="T458" s="680"/>
      <c r="U458" s="663"/>
      <c r="V458" s="1314">
        <f>R458</f>
        <v>17.39</v>
      </c>
      <c r="AB458" s="15"/>
    </row>
    <row r="459" spans="1:36" s="8" customFormat="1" ht="15.75" hidden="1">
      <c r="A459" s="516"/>
      <c r="B459" s="523"/>
      <c r="C459" s="524"/>
      <c r="D459" s="526"/>
      <c r="E459" s="526"/>
      <c r="F459" s="526"/>
      <c r="G459" s="525"/>
      <c r="H459" s="525"/>
      <c r="I459" s="525"/>
      <c r="J459" s="527"/>
      <c r="K459" s="528"/>
      <c r="L459" s="529"/>
      <c r="M459" s="530"/>
      <c r="N459" s="530"/>
      <c r="O459" s="530"/>
      <c r="P459" s="530"/>
      <c r="Q459" s="530"/>
      <c r="R459" s="531"/>
      <c r="S459" s="532"/>
      <c r="T459" s="533"/>
      <c r="U459" s="534"/>
      <c r="V459" s="1658">
        <f>SUM(V436:V458)</f>
        <v>399.9699999999998</v>
      </c>
      <c r="AB459" s="15"/>
    </row>
    <row r="460" spans="1:36" s="497" customFormat="1" ht="15.75" hidden="1">
      <c r="A460" s="495"/>
      <c r="B460" s="2423" t="str">
        <f>VLOOKUP(A468,'12 - FINANCEIRA'!_xlnm.Print_Area,1,FALSE)</f>
        <v>2.5.3</v>
      </c>
      <c r="C460" s="2421" t="str">
        <f>VLOOKUP(A468,'12 - FINANCEIRA'!_xlnm.Print_Area,3,FALSE)</f>
        <v>Concreto magro - confecção em betoneira e lançamento manual - areia e brita comerciais</v>
      </c>
      <c r="D460" s="2479" t="s">
        <v>97</v>
      </c>
      <c r="E460" s="2480"/>
      <c r="F460" s="2480"/>
      <c r="G460" s="2480"/>
      <c r="H460" s="2480"/>
      <c r="I460" s="2481"/>
      <c r="J460" s="2416" t="s">
        <v>98</v>
      </c>
      <c r="K460" s="2416" t="s">
        <v>102</v>
      </c>
      <c r="L460" s="2416" t="s">
        <v>103</v>
      </c>
      <c r="M460" s="2416" t="s">
        <v>525</v>
      </c>
      <c r="N460" s="2416" t="s">
        <v>229</v>
      </c>
      <c r="O460" s="2416" t="s">
        <v>107</v>
      </c>
      <c r="P460" s="496" t="s">
        <v>153</v>
      </c>
      <c r="Q460" s="2416" t="s">
        <v>2</v>
      </c>
      <c r="R460" s="2425" t="s">
        <v>2</v>
      </c>
      <c r="S460" s="2416" t="s">
        <v>99</v>
      </c>
      <c r="T460" s="2416" t="s">
        <v>17</v>
      </c>
      <c r="U460" s="2428" t="s">
        <v>362</v>
      </c>
      <c r="V460" s="870">
        <f t="shared" ref="V460:V467" si="51">V461</f>
        <v>0</v>
      </c>
      <c r="W460" s="26"/>
      <c r="X460" s="26"/>
      <c r="Y460" s="26"/>
      <c r="Z460" s="27"/>
      <c r="AA460" s="9"/>
      <c r="AB460" s="9"/>
      <c r="AC460" s="9"/>
      <c r="AD460" s="9"/>
      <c r="AE460" s="9"/>
      <c r="AF460" s="9"/>
      <c r="AG460" s="9"/>
      <c r="AH460" s="9"/>
      <c r="AI460" s="9"/>
      <c r="AJ460" s="9"/>
    </row>
    <row r="461" spans="1:36" s="497" customFormat="1" ht="15.75" hidden="1">
      <c r="A461" s="495"/>
      <c r="B461" s="2471" t="e">
        <f>LEFT(#REF!,5)</f>
        <v>#REF!</v>
      </c>
      <c r="C461" s="2472" t="e">
        <f>VLOOKUP(LEFT(#REF!,5),'12 - FINANCEIRA'!_xlnm.Print_Area,2,FALSE)</f>
        <v>#REF!</v>
      </c>
      <c r="D461" s="2430" t="s">
        <v>14</v>
      </c>
      <c r="E461" s="2431"/>
      <c r="F461" s="2432"/>
      <c r="G461" s="2433" t="s">
        <v>15</v>
      </c>
      <c r="H461" s="2434"/>
      <c r="I461" s="2435"/>
      <c r="J461" s="2427"/>
      <c r="K461" s="2427"/>
      <c r="L461" s="2427"/>
      <c r="M461" s="2427"/>
      <c r="N461" s="2427"/>
      <c r="O461" s="2427"/>
      <c r="P461" s="498" t="s">
        <v>104</v>
      </c>
      <c r="Q461" s="2427"/>
      <c r="R461" s="2426"/>
      <c r="S461" s="2427"/>
      <c r="T461" s="2427"/>
      <c r="U461" s="2429"/>
      <c r="V461" s="870">
        <f t="shared" si="51"/>
        <v>0</v>
      </c>
      <c r="W461" s="26"/>
      <c r="X461" s="26"/>
      <c r="Y461" s="26"/>
      <c r="Z461" s="27"/>
      <c r="AA461" s="9"/>
      <c r="AB461" s="9"/>
      <c r="AC461" s="9"/>
      <c r="AD461" s="9"/>
      <c r="AE461" s="9"/>
      <c r="AF461" s="9"/>
      <c r="AG461" s="9"/>
      <c r="AH461" s="9"/>
      <c r="AI461" s="9"/>
      <c r="AJ461" s="9"/>
    </row>
    <row r="462" spans="1:36" s="9" customFormat="1" ht="30" hidden="1">
      <c r="A462" s="944"/>
      <c r="B462" s="922"/>
      <c r="C462" s="908" t="s">
        <v>515</v>
      </c>
      <c r="D462" s="166">
        <v>100</v>
      </c>
      <c r="E462" s="165" t="s">
        <v>68</v>
      </c>
      <c r="F462" s="164">
        <v>0</v>
      </c>
      <c r="G462" s="166">
        <v>113</v>
      </c>
      <c r="H462" s="165" t="s">
        <v>68</v>
      </c>
      <c r="I462" s="164">
        <v>15</v>
      </c>
      <c r="J462" s="163" t="s">
        <v>105</v>
      </c>
      <c r="K462" s="909">
        <f>(G462-D462)*20+I462-F462</f>
        <v>275</v>
      </c>
      <c r="L462" s="162">
        <v>2.8</v>
      </c>
      <c r="M462" s="1375">
        <v>0.05</v>
      </c>
      <c r="N462" s="1376"/>
      <c r="O462" s="1377"/>
      <c r="P462" s="162"/>
      <c r="Q462" s="1378"/>
      <c r="R462" s="535">
        <f>TRUNC(K462*L462*M462,3)</f>
        <v>38.5</v>
      </c>
      <c r="S462" s="876" t="s">
        <v>5</v>
      </c>
      <c r="T462" s="888" t="s">
        <v>83</v>
      </c>
      <c r="U462" s="39" t="s">
        <v>712</v>
      </c>
      <c r="V462" s="870">
        <f t="shared" si="51"/>
        <v>0</v>
      </c>
      <c r="W462" s="26"/>
      <c r="X462" s="26"/>
      <c r="Y462" s="26"/>
      <c r="Z462" s="27"/>
      <c r="AA462" s="41"/>
      <c r="AB462" s="42"/>
    </row>
    <row r="463" spans="1:36" s="9" customFormat="1" ht="30" hidden="1">
      <c r="A463" s="944"/>
      <c r="B463" s="922"/>
      <c r="C463" s="58" t="s">
        <v>515</v>
      </c>
      <c r="D463" s="82">
        <v>0</v>
      </c>
      <c r="E463" s="44" t="s">
        <v>68</v>
      </c>
      <c r="F463" s="83">
        <v>0</v>
      </c>
      <c r="G463" s="82">
        <v>17</v>
      </c>
      <c r="H463" s="44" t="s">
        <v>68</v>
      </c>
      <c r="I463" s="83">
        <v>0</v>
      </c>
      <c r="J463" s="46" t="s">
        <v>105</v>
      </c>
      <c r="K463" s="909">
        <f>(G463-D463)*20+I463-F463</f>
        <v>340</v>
      </c>
      <c r="L463" s="48">
        <v>2.8</v>
      </c>
      <c r="M463" s="49">
        <v>0.05</v>
      </c>
      <c r="N463" s="211"/>
      <c r="O463" s="50"/>
      <c r="P463" s="48"/>
      <c r="Q463" s="209"/>
      <c r="R463" s="168">
        <f>TRUNC(K463*L463*M463,3)</f>
        <v>47.6</v>
      </c>
      <c r="S463" s="180" t="s">
        <v>5</v>
      </c>
      <c r="T463" s="90" t="s">
        <v>86</v>
      </c>
      <c r="U463" s="39" t="s">
        <v>712</v>
      </c>
      <c r="V463" s="870">
        <f>V464</f>
        <v>0</v>
      </c>
      <c r="W463" s="26"/>
      <c r="X463" s="26"/>
      <c r="Y463" s="26"/>
      <c r="Z463" s="27"/>
      <c r="AA463" s="41"/>
      <c r="AB463" s="42"/>
    </row>
    <row r="464" spans="1:36" s="8" customFormat="1" ht="15" hidden="1">
      <c r="A464" s="516"/>
      <c r="B464" s="924"/>
      <c r="C464" s="58"/>
      <c r="D464" s="82"/>
      <c r="E464" s="44"/>
      <c r="F464" s="83"/>
      <c r="G464" s="82"/>
      <c r="H464" s="44"/>
      <c r="I464" s="83"/>
      <c r="J464" s="46"/>
      <c r="K464" s="47"/>
      <c r="L464" s="48"/>
      <c r="M464" s="49"/>
      <c r="N464" s="211"/>
      <c r="O464" s="50"/>
      <c r="P464" s="48"/>
      <c r="Q464" s="209"/>
      <c r="R464" s="168"/>
      <c r="S464" s="180"/>
      <c r="T464" s="90"/>
      <c r="U464" s="167"/>
      <c r="V464" s="870">
        <f>V465</f>
        <v>0</v>
      </c>
      <c r="W464" s="938"/>
      <c r="X464" s="938"/>
      <c r="Y464" s="938"/>
      <c r="Z464" s="939"/>
    </row>
    <row r="465" spans="1:36" s="8" customFormat="1" ht="15" hidden="1">
      <c r="A465" s="516"/>
      <c r="B465" s="59"/>
      <c r="C465" s="60"/>
      <c r="D465" s="161"/>
      <c r="E465" s="61"/>
      <c r="F465" s="160"/>
      <c r="G465" s="161"/>
      <c r="H465" s="61"/>
      <c r="I465" s="160"/>
      <c r="J465" s="62"/>
      <c r="K465" s="63"/>
      <c r="L465" s="64"/>
      <c r="M465" s="65"/>
      <c r="N465" s="900"/>
      <c r="O465" s="66"/>
      <c r="P465" s="64"/>
      <c r="Q465" s="901"/>
      <c r="R465" s="903"/>
      <c r="S465" s="902"/>
      <c r="T465" s="733"/>
      <c r="U465" s="71"/>
      <c r="V465" s="870">
        <f>V466</f>
        <v>0</v>
      </c>
      <c r="AB465" s="15"/>
    </row>
    <row r="466" spans="1:36" s="8" customFormat="1" ht="15.75" hidden="1">
      <c r="A466" s="516"/>
      <c r="B466" s="877"/>
      <c r="C466" s="113"/>
      <c r="D466" s="2475" t="s">
        <v>18</v>
      </c>
      <c r="E466" s="2460"/>
      <c r="F466" s="2460"/>
      <c r="G466" s="2460"/>
      <c r="H466" s="2460"/>
      <c r="I466" s="2476"/>
      <c r="J466" s="2484">
        <f>VLOOKUP(A468,'12 - FINANCEIRA'!_xlnm.Print_Area,6,FALSE)</f>
        <v>86.1</v>
      </c>
      <c r="K466" s="2485"/>
      <c r="L466" s="910" t="str">
        <f>VLOOKUP(A468,'12 - FINANCEIRA'!_xlnm.Print_Area,4,FALSE)</f>
        <v>m³</v>
      </c>
      <c r="M466" s="2486" t="s">
        <v>19</v>
      </c>
      <c r="N466" s="2465"/>
      <c r="O466" s="2465"/>
      <c r="P466" s="2465"/>
      <c r="Q466" s="2487"/>
      <c r="R466" s="904">
        <f>SUM(R462:R465)</f>
        <v>86.1</v>
      </c>
      <c r="S466" s="905" t="str">
        <f>L466</f>
        <v>m³</v>
      </c>
      <c r="T466" s="680"/>
      <c r="U466" s="663"/>
      <c r="V466" s="870">
        <f t="shared" si="51"/>
        <v>0</v>
      </c>
      <c r="AB466" s="15"/>
    </row>
    <row r="467" spans="1:36" s="8" customFormat="1" ht="15.75" hidden="1">
      <c r="A467" s="516"/>
      <c r="B467" s="877"/>
      <c r="C467" s="681"/>
      <c r="D467" s="2444" t="s">
        <v>20</v>
      </c>
      <c r="E467" s="2445"/>
      <c r="F467" s="2445"/>
      <c r="G467" s="2445"/>
      <c r="H467" s="2445"/>
      <c r="I467" s="2446"/>
      <c r="J467" s="2450">
        <f>R466/J466</f>
        <v>1</v>
      </c>
      <c r="K467" s="2451"/>
      <c r="L467" s="2454"/>
      <c r="M467" s="2441" t="s">
        <v>21</v>
      </c>
      <c r="N467" s="2442"/>
      <c r="O467" s="2442"/>
      <c r="P467" s="2442"/>
      <c r="Q467" s="2443"/>
      <c r="R467" s="878">
        <f>VLOOKUP(A468,'12 - FINANCEIRA'!_xlnm.Print_Area,8,FALSE)</f>
        <v>86.1</v>
      </c>
      <c r="S467" s="879" t="str">
        <f>L466</f>
        <v>m³</v>
      </c>
      <c r="T467" s="680"/>
      <c r="U467" s="663"/>
      <c r="V467" s="870">
        <f t="shared" si="51"/>
        <v>0</v>
      </c>
      <c r="AB467" s="15"/>
    </row>
    <row r="468" spans="1:36" s="8" customFormat="1" ht="15.75" hidden="1">
      <c r="A468" s="516" t="s">
        <v>498</v>
      </c>
      <c r="B468" s="877"/>
      <c r="C468" s="113"/>
      <c r="D468" s="2447"/>
      <c r="E468" s="2448"/>
      <c r="F468" s="2448"/>
      <c r="G468" s="2448"/>
      <c r="H468" s="2448"/>
      <c r="I468" s="2449"/>
      <c r="J468" s="2452"/>
      <c r="K468" s="2453"/>
      <c r="L468" s="2455"/>
      <c r="M468" s="2456" t="s">
        <v>22</v>
      </c>
      <c r="N468" s="2457"/>
      <c r="O468" s="2457"/>
      <c r="P468" s="2457"/>
      <c r="Q468" s="2458"/>
      <c r="R468" s="521">
        <f>R466-R467</f>
        <v>0</v>
      </c>
      <c r="S468" s="522" t="str">
        <f>L466</f>
        <v>m³</v>
      </c>
      <c r="T468" s="680"/>
      <c r="U468" s="663"/>
      <c r="V468" s="870">
        <f>R468</f>
        <v>0</v>
      </c>
      <c r="AB468" s="15"/>
    </row>
    <row r="469" spans="1:36" s="8" customFormat="1" ht="15.75">
      <c r="A469" s="516"/>
      <c r="B469" s="523"/>
      <c r="C469" s="524"/>
      <c r="D469" s="526"/>
      <c r="E469" s="526"/>
      <c r="F469" s="526"/>
      <c r="G469" s="525"/>
      <c r="H469" s="525"/>
      <c r="I469" s="525"/>
      <c r="J469" s="527"/>
      <c r="K469" s="528"/>
      <c r="L469" s="529"/>
      <c r="M469" s="530"/>
      <c r="N469" s="530"/>
      <c r="O469" s="530"/>
      <c r="P469" s="530"/>
      <c r="Q469" s="530"/>
      <c r="R469" s="531"/>
      <c r="S469" s="532"/>
      <c r="T469" s="533"/>
      <c r="U469" s="534"/>
      <c r="V469" s="871">
        <f>SUM(V460:V468)</f>
        <v>0</v>
      </c>
      <c r="AB469" s="15"/>
    </row>
    <row r="470" spans="1:36" s="497" customFormat="1" ht="15.75" customHeight="1">
      <c r="A470" s="495"/>
      <c r="B470" s="2423" t="str">
        <f>VLOOKUP(A480,'12 - FINANCEIRA'!_xlnm.Print_Area,1,FALSE)</f>
        <v>2.5.4</v>
      </c>
      <c r="C470" s="2421" t="str">
        <f>VLOOKUP(A480,'12 - FINANCEIRA'!_xlnm.Print_Area,3,FALSE)</f>
        <v>Fabricação, montagem e desmontagem de fôrma em chapa de madeira compensada resinada, e=17 mm</v>
      </c>
      <c r="D470" s="2479" t="s">
        <v>97</v>
      </c>
      <c r="E470" s="2480"/>
      <c r="F470" s="2480"/>
      <c r="G470" s="2480"/>
      <c r="H470" s="2480"/>
      <c r="I470" s="2481"/>
      <c r="J470" s="2416" t="s">
        <v>98</v>
      </c>
      <c r="K470" s="2416" t="s">
        <v>102</v>
      </c>
      <c r="L470" s="2416" t="s">
        <v>103</v>
      </c>
      <c r="M470" s="2416" t="s">
        <v>228</v>
      </c>
      <c r="N470" s="2416" t="s">
        <v>229</v>
      </c>
      <c r="O470" s="2416" t="s">
        <v>229</v>
      </c>
      <c r="P470" s="496" t="s">
        <v>153</v>
      </c>
      <c r="Q470" s="2489" t="s">
        <v>2</v>
      </c>
      <c r="R470" s="2425" t="s">
        <v>2</v>
      </c>
      <c r="S470" s="2416" t="s">
        <v>99</v>
      </c>
      <c r="T470" s="2416" t="s">
        <v>17</v>
      </c>
      <c r="U470" s="2428" t="s">
        <v>362</v>
      </c>
      <c r="V470" s="1314">
        <f t="shared" ref="V470:V479" si="52">V471</f>
        <v>11.423999999999999</v>
      </c>
      <c r="W470" s="26"/>
      <c r="X470" s="26"/>
      <c r="Y470" s="26"/>
      <c r="Z470" s="27"/>
      <c r="AA470" s="9"/>
      <c r="AB470" s="9"/>
      <c r="AC470" s="9"/>
      <c r="AD470" s="9"/>
      <c r="AE470" s="9"/>
      <c r="AF470" s="9"/>
      <c r="AG470" s="9"/>
      <c r="AH470" s="9"/>
      <c r="AI470" s="9"/>
      <c r="AJ470" s="9"/>
    </row>
    <row r="471" spans="1:36" s="497" customFormat="1" ht="15.75">
      <c r="A471" s="495"/>
      <c r="B471" s="2471" t="e">
        <f>LEFT(#REF!,5)</f>
        <v>#REF!</v>
      </c>
      <c r="C471" s="2472" t="e">
        <f>VLOOKUP(LEFT(#REF!,5),'12 - FINANCEIRA'!_xlnm.Print_Area,2,FALSE)</f>
        <v>#REF!</v>
      </c>
      <c r="D471" s="2430" t="s">
        <v>14</v>
      </c>
      <c r="E471" s="2431"/>
      <c r="F471" s="2432"/>
      <c r="G471" s="2433" t="s">
        <v>15</v>
      </c>
      <c r="H471" s="2434"/>
      <c r="I471" s="2435"/>
      <c r="J471" s="2427"/>
      <c r="K471" s="2427"/>
      <c r="L471" s="2488"/>
      <c r="M471" s="2488"/>
      <c r="N471" s="2488"/>
      <c r="O471" s="2488"/>
      <c r="P471" s="911" t="s">
        <v>104</v>
      </c>
      <c r="Q471" s="2490"/>
      <c r="R471" s="2491"/>
      <c r="S471" s="2488"/>
      <c r="T471" s="2488"/>
      <c r="U471" s="2429"/>
      <c r="V471" s="1314">
        <f t="shared" si="52"/>
        <v>11.423999999999999</v>
      </c>
      <c r="W471" s="26"/>
      <c r="X471" s="26"/>
      <c r="Y471" s="26"/>
      <c r="Z471" s="27"/>
      <c r="AA471" s="9"/>
      <c r="AB471" s="9"/>
      <c r="AC471" s="9"/>
      <c r="AD471" s="9"/>
      <c r="AE471" s="9"/>
      <c r="AF471" s="9"/>
      <c r="AG471" s="9"/>
      <c r="AH471" s="9"/>
      <c r="AI471" s="9"/>
      <c r="AJ471" s="9"/>
    </row>
    <row r="472" spans="1:36" s="9" customFormat="1" ht="30">
      <c r="A472" s="944"/>
      <c r="B472" s="922"/>
      <c r="C472" s="1433" t="s">
        <v>685</v>
      </c>
      <c r="D472" s="1434"/>
      <c r="E472" s="1435"/>
      <c r="F472" s="847"/>
      <c r="G472" s="1436"/>
      <c r="H472" s="1435"/>
      <c r="I472" s="1437"/>
      <c r="J472" s="1438" t="s">
        <v>105</v>
      </c>
      <c r="K472" s="1434">
        <v>2.4</v>
      </c>
      <c r="L472" s="1438">
        <v>0.2</v>
      </c>
      <c r="M472" s="1439">
        <v>1</v>
      </c>
      <c r="N472" s="1440">
        <f>(SUM(K472+M472)*2*L472)*Q472</f>
        <v>6.8000000000000007</v>
      </c>
      <c r="O472" s="1034"/>
      <c r="P472" s="850"/>
      <c r="Q472" s="854">
        <v>5</v>
      </c>
      <c r="R472" s="1441">
        <f>N472</f>
        <v>6.8000000000000007</v>
      </c>
      <c r="S472" s="34" t="s">
        <v>7</v>
      </c>
      <c r="T472" s="936" t="s">
        <v>85</v>
      </c>
      <c r="U472" s="169" t="s">
        <v>917</v>
      </c>
      <c r="V472" s="1314">
        <f t="shared" si="52"/>
        <v>11.423999999999999</v>
      </c>
      <c r="W472" s="26"/>
      <c r="X472" s="26"/>
      <c r="Y472" s="26"/>
      <c r="Z472" s="27"/>
      <c r="AA472" s="41"/>
      <c r="AB472" s="42"/>
    </row>
    <row r="473" spans="1:36" s="9" customFormat="1" ht="30">
      <c r="A473" s="944"/>
      <c r="B473" s="922"/>
      <c r="C473" s="1433" t="s">
        <v>685</v>
      </c>
      <c r="D473" s="1434"/>
      <c r="E473" s="1435"/>
      <c r="F473" s="847"/>
      <c r="G473" s="1436"/>
      <c r="H473" s="1435"/>
      <c r="I473" s="1437"/>
      <c r="J473" s="1438" t="s">
        <v>105</v>
      </c>
      <c r="K473" s="1434">
        <v>2.4</v>
      </c>
      <c r="L473" s="1438">
        <v>1</v>
      </c>
      <c r="M473" s="1439">
        <v>1</v>
      </c>
      <c r="N473" s="1440">
        <f>SUM(K473*L473)*Q473</f>
        <v>12</v>
      </c>
      <c r="O473" s="1034"/>
      <c r="P473" s="850"/>
      <c r="Q473" s="854">
        <v>5</v>
      </c>
      <c r="R473" s="1442">
        <f t="shared" ref="R473" si="53">N473</f>
        <v>12</v>
      </c>
      <c r="S473" s="34" t="s">
        <v>7</v>
      </c>
      <c r="T473" s="1443" t="s">
        <v>85</v>
      </c>
      <c r="U473" s="39" t="s">
        <v>916</v>
      </c>
      <c r="V473" s="1314">
        <f t="shared" si="52"/>
        <v>11.423999999999999</v>
      </c>
      <c r="W473" s="26"/>
      <c r="X473" s="26"/>
      <c r="Y473" s="26"/>
      <c r="Z473" s="27"/>
      <c r="AA473" s="41"/>
      <c r="AB473" s="42"/>
    </row>
    <row r="474" spans="1:36" s="8" customFormat="1" ht="30">
      <c r="A474" s="516"/>
      <c r="B474" s="922"/>
      <c r="C474" s="1433" t="s">
        <v>685</v>
      </c>
      <c r="D474" s="82"/>
      <c r="E474" s="44"/>
      <c r="F474" s="83"/>
      <c r="G474" s="43"/>
      <c r="H474" s="44"/>
      <c r="I474" s="45"/>
      <c r="J474" s="1438" t="s">
        <v>105</v>
      </c>
      <c r="K474" s="1434">
        <v>2.4</v>
      </c>
      <c r="L474" s="1438">
        <v>0.2</v>
      </c>
      <c r="M474" s="1439">
        <v>1</v>
      </c>
      <c r="N474" s="1440">
        <f>(SUM(K474+M474)*2*L474)*Q474</f>
        <v>6.8000000000000007</v>
      </c>
      <c r="O474" s="1034"/>
      <c r="P474" s="850"/>
      <c r="Q474" s="854">
        <v>5</v>
      </c>
      <c r="R474" s="1441">
        <f>N474*-1</f>
        <v>-6.8000000000000007</v>
      </c>
      <c r="S474" s="46" t="s">
        <v>7</v>
      </c>
      <c r="T474" s="1477" t="s">
        <v>86</v>
      </c>
      <c r="U474" s="39" t="s">
        <v>910</v>
      </c>
      <c r="V474" s="1314">
        <f t="shared" si="52"/>
        <v>11.423999999999999</v>
      </c>
      <c r="W474" s="938"/>
      <c r="X474" s="938"/>
      <c r="Y474" s="938"/>
      <c r="Z474" s="939"/>
    </row>
    <row r="475" spans="1:36" s="8" customFormat="1" ht="30">
      <c r="A475" s="516"/>
      <c r="B475" s="924"/>
      <c r="C475" s="1433" t="s">
        <v>685</v>
      </c>
      <c r="D475" s="82"/>
      <c r="E475" s="44"/>
      <c r="F475" s="83"/>
      <c r="G475" s="43"/>
      <c r="H475" s="44"/>
      <c r="I475" s="45"/>
      <c r="J475" s="1438" t="s">
        <v>105</v>
      </c>
      <c r="K475" s="1434">
        <v>2.4</v>
      </c>
      <c r="L475" s="1438">
        <v>1</v>
      </c>
      <c r="M475" s="1438">
        <v>1</v>
      </c>
      <c r="N475" s="1440">
        <f>SUM(K475*L475)*Q475</f>
        <v>12</v>
      </c>
      <c r="O475" s="1034"/>
      <c r="P475" s="850"/>
      <c r="Q475" s="854">
        <v>5</v>
      </c>
      <c r="R475" s="1441">
        <f>N475*-1</f>
        <v>-12</v>
      </c>
      <c r="S475" s="1533" t="s">
        <v>7</v>
      </c>
      <c r="T475" s="1553" t="s">
        <v>86</v>
      </c>
      <c r="U475" s="39" t="s">
        <v>910</v>
      </c>
      <c r="V475" s="1314">
        <f t="shared" si="52"/>
        <v>11.423999999999999</v>
      </c>
      <c r="W475" s="938"/>
      <c r="X475" s="938"/>
      <c r="Y475" s="938"/>
      <c r="Z475" s="939"/>
    </row>
    <row r="476" spans="1:36" s="8" customFormat="1" ht="30">
      <c r="A476" s="516"/>
      <c r="B476" s="924"/>
      <c r="C476" s="1433" t="s">
        <v>685</v>
      </c>
      <c r="D476" s="82">
        <v>106</v>
      </c>
      <c r="E476" s="44" t="s">
        <v>68</v>
      </c>
      <c r="F476" s="83">
        <v>7</v>
      </c>
      <c r="G476" s="82">
        <v>112</v>
      </c>
      <c r="H476" s="44" t="s">
        <v>68</v>
      </c>
      <c r="I476" s="83">
        <v>0</v>
      </c>
      <c r="J476" s="1439" t="s">
        <v>105</v>
      </c>
      <c r="K476" s="1438">
        <f>20*(G476-D476)+I476-F476</f>
        <v>113</v>
      </c>
      <c r="L476" s="1439">
        <v>2.4</v>
      </c>
      <c r="M476" s="1439">
        <v>0.12</v>
      </c>
      <c r="N476" s="1619">
        <f>K476*M476*2</f>
        <v>27.119999999999997</v>
      </c>
      <c r="O476" s="1619">
        <f>L476*M476*Q476*2</f>
        <v>3.4559999999999995</v>
      </c>
      <c r="P476" s="35"/>
      <c r="Q476" s="884">
        <v>6</v>
      </c>
      <c r="R476" s="1442">
        <f>TRUNC(N476+O476,3)</f>
        <v>30.576000000000001</v>
      </c>
      <c r="S476" s="54" t="s">
        <v>7</v>
      </c>
      <c r="T476" s="90" t="s">
        <v>88</v>
      </c>
      <c r="U476" s="78" t="s">
        <v>1077</v>
      </c>
      <c r="V476" s="1314">
        <f t="shared" si="52"/>
        <v>11.423999999999999</v>
      </c>
      <c r="W476" s="938"/>
      <c r="X476" s="938"/>
      <c r="Y476" s="938"/>
      <c r="Z476" s="939"/>
    </row>
    <row r="477" spans="1:36" s="8" customFormat="1" ht="30">
      <c r="A477" s="516"/>
      <c r="B477" s="924"/>
      <c r="C477" s="1551" t="s">
        <v>685</v>
      </c>
      <c r="D477" s="156"/>
      <c r="E477" s="86"/>
      <c r="F477" s="155"/>
      <c r="G477" s="156"/>
      <c r="H477" s="86"/>
      <c r="I477" s="155"/>
      <c r="J477" s="1539"/>
      <c r="K477" s="1544"/>
      <c r="L477" s="1539"/>
      <c r="M477" s="1538"/>
      <c r="N477" s="1615"/>
      <c r="O477" s="1616"/>
      <c r="P477" s="1358"/>
      <c r="Q477" s="1617"/>
      <c r="R477" s="1554">
        <v>11.423999999999999</v>
      </c>
      <c r="S477" s="132" t="s">
        <v>7</v>
      </c>
      <c r="T477" s="1618" t="s">
        <v>90</v>
      </c>
      <c r="U477" s="956" t="s">
        <v>977</v>
      </c>
      <c r="V477" s="1314">
        <f t="shared" si="52"/>
        <v>11.423999999999999</v>
      </c>
      <c r="W477" s="938"/>
      <c r="X477" s="938"/>
      <c r="Y477" s="938"/>
      <c r="Z477" s="939"/>
    </row>
    <row r="478" spans="1:36" s="8" customFormat="1" ht="15.75">
      <c r="A478" s="516"/>
      <c r="B478" s="923"/>
      <c r="C478" s="891"/>
      <c r="D478" s="2436" t="s">
        <v>18</v>
      </c>
      <c r="E478" s="2437"/>
      <c r="F478" s="2437"/>
      <c r="G478" s="2437"/>
      <c r="H478" s="2437"/>
      <c r="I478" s="2438"/>
      <c r="J478" s="2439">
        <f>VLOOKUP(A480,'12 - FINANCEIRA'!_xlnm.Print_Area,6,FALSE)</f>
        <v>42</v>
      </c>
      <c r="K478" s="2440"/>
      <c r="L478" s="519" t="str">
        <f>VLOOKUP(A480,'12 - FINANCEIRA'!_xlnm.Print_Area,4,FALSE)</f>
        <v>m²</v>
      </c>
      <c r="M478" s="2441" t="s">
        <v>19</v>
      </c>
      <c r="N478" s="2442"/>
      <c r="O478" s="2442"/>
      <c r="P478" s="2442"/>
      <c r="Q478" s="2443"/>
      <c r="R478" s="878">
        <f>SUM(R472:R477)</f>
        <v>42</v>
      </c>
      <c r="S478" s="520" t="str">
        <f>L478</f>
        <v>m²</v>
      </c>
      <c r="T478" s="661"/>
      <c r="U478" s="662"/>
      <c r="V478" s="1314">
        <f t="shared" si="52"/>
        <v>11.423999999999999</v>
      </c>
      <c r="AB478" s="15"/>
    </row>
    <row r="479" spans="1:36" s="8" customFormat="1" ht="15.75">
      <c r="A479" s="516"/>
      <c r="B479" s="877"/>
      <c r="C479" s="681"/>
      <c r="D479" s="2444" t="s">
        <v>20</v>
      </c>
      <c r="E479" s="2445"/>
      <c r="F479" s="2445"/>
      <c r="G479" s="2445"/>
      <c r="H479" s="2445"/>
      <c r="I479" s="2446"/>
      <c r="J479" s="2450">
        <f>R478/J478</f>
        <v>1</v>
      </c>
      <c r="K479" s="2451"/>
      <c r="L479" s="2454"/>
      <c r="M479" s="2441" t="s">
        <v>21</v>
      </c>
      <c r="N479" s="2442"/>
      <c r="O479" s="2442"/>
      <c r="P479" s="2442"/>
      <c r="Q479" s="2443"/>
      <c r="R479" s="878">
        <f>VLOOKUP(A480,'12 - FINANCEIRA'!_xlnm.Print_Area,8,FALSE)</f>
        <v>30.576000000000001</v>
      </c>
      <c r="S479" s="879" t="str">
        <f>L478</f>
        <v>m²</v>
      </c>
      <c r="T479" s="680"/>
      <c r="U479" s="663"/>
      <c r="V479" s="1314">
        <f t="shared" si="52"/>
        <v>11.423999999999999</v>
      </c>
      <c r="AB479" s="15"/>
    </row>
    <row r="480" spans="1:36" s="8" customFormat="1" ht="15.75">
      <c r="A480" s="516" t="s">
        <v>499</v>
      </c>
      <c r="B480" s="880"/>
      <c r="C480" s="885"/>
      <c r="D480" s="2475"/>
      <c r="E480" s="2460"/>
      <c r="F480" s="2460"/>
      <c r="G480" s="2460"/>
      <c r="H480" s="2460"/>
      <c r="I480" s="2476"/>
      <c r="J480" s="2477"/>
      <c r="K480" s="2478"/>
      <c r="L480" s="2483"/>
      <c r="M480" s="2441" t="s">
        <v>22</v>
      </c>
      <c r="N480" s="2442"/>
      <c r="O480" s="2442"/>
      <c r="P480" s="2442"/>
      <c r="Q480" s="2443"/>
      <c r="R480" s="878">
        <f>R478-R479</f>
        <v>11.423999999999999</v>
      </c>
      <c r="S480" s="879" t="str">
        <f>L478</f>
        <v>m²</v>
      </c>
      <c r="T480" s="886"/>
      <c r="U480" s="881"/>
      <c r="V480" s="1314">
        <f>R480</f>
        <v>11.423999999999999</v>
      </c>
      <c r="AB480" s="15"/>
    </row>
    <row r="481" spans="1:36" s="8" customFormat="1" ht="15.75">
      <c r="A481" s="516"/>
      <c r="B481" s="523"/>
      <c r="C481" s="524"/>
      <c r="D481" s="526"/>
      <c r="E481" s="526"/>
      <c r="F481" s="526"/>
      <c r="G481" s="525"/>
      <c r="H481" s="525"/>
      <c r="I481" s="525"/>
      <c r="J481" s="527"/>
      <c r="K481" s="528"/>
      <c r="L481" s="529"/>
      <c r="M481" s="530"/>
      <c r="N481" s="530"/>
      <c r="O481" s="530"/>
      <c r="P481" s="530"/>
      <c r="Q481" s="530"/>
      <c r="R481" s="531"/>
      <c r="S481" s="532"/>
      <c r="T481" s="533"/>
      <c r="U481" s="534"/>
      <c r="V481" s="1658">
        <f>SUM(V470:V480)</f>
        <v>125.66400000000002</v>
      </c>
      <c r="AB481" s="15"/>
    </row>
    <row r="482" spans="1:36" s="497" customFormat="1" ht="15.75" customHeight="1">
      <c r="A482" s="495"/>
      <c r="B482" s="2423" t="str">
        <f>VLOOKUP(A508,'12 - FINANCEIRA'!_xlnm.Print_Area,1,FALSE)</f>
        <v>2.5.5</v>
      </c>
      <c r="C482" s="2421" t="str">
        <f>VLOOKUP(A508,'12 - FINANCEIRA'!_xlnm.Print_Area,3,FALSE)</f>
        <v>Concreto fck = 30 MPa - confecção em central dosadora de 30 m³/h - areia e brita comerciais</v>
      </c>
      <c r="D482" s="2479" t="s">
        <v>97</v>
      </c>
      <c r="E482" s="2480"/>
      <c r="F482" s="2480"/>
      <c r="G482" s="2480"/>
      <c r="H482" s="2480"/>
      <c r="I482" s="2481"/>
      <c r="J482" s="2416" t="s">
        <v>98</v>
      </c>
      <c r="K482" s="2416" t="s">
        <v>102</v>
      </c>
      <c r="L482" s="2416" t="s">
        <v>103</v>
      </c>
      <c r="M482" s="2416" t="s">
        <v>228</v>
      </c>
      <c r="N482" s="2416" t="s">
        <v>229</v>
      </c>
      <c r="O482" s="2416" t="s">
        <v>107</v>
      </c>
      <c r="P482" s="2416" t="s">
        <v>907</v>
      </c>
      <c r="Q482" s="2425" t="s">
        <v>2</v>
      </c>
      <c r="R482" s="2425" t="s">
        <v>2</v>
      </c>
      <c r="S482" s="2416" t="s">
        <v>99</v>
      </c>
      <c r="T482" s="2416" t="s">
        <v>17</v>
      </c>
      <c r="U482" s="2428" t="s">
        <v>362</v>
      </c>
      <c r="V482" s="1762">
        <f t="shared" ref="V482:V507" si="54">V483</f>
        <v>97.491</v>
      </c>
      <c r="W482" s="26"/>
      <c r="X482" s="26"/>
      <c r="Y482" s="26"/>
      <c r="Z482" s="27"/>
      <c r="AA482" s="9"/>
      <c r="AB482" s="9"/>
      <c r="AC482" s="9"/>
      <c r="AD482" s="9"/>
      <c r="AE482" s="9"/>
      <c r="AF482" s="9"/>
      <c r="AG482" s="9"/>
      <c r="AH482" s="9"/>
      <c r="AI482" s="9"/>
      <c r="AJ482" s="9"/>
    </row>
    <row r="483" spans="1:36" s="497" customFormat="1" ht="15.75">
      <c r="A483" s="495"/>
      <c r="B483" s="2471" t="e">
        <f>LEFT(#REF!,5)</f>
        <v>#REF!</v>
      </c>
      <c r="C483" s="2472" t="e">
        <f>VLOOKUP(LEFT(#REF!,5),'12 - FINANCEIRA'!_xlnm.Print_Area,2,FALSE)</f>
        <v>#REF!</v>
      </c>
      <c r="D483" s="2430" t="s">
        <v>14</v>
      </c>
      <c r="E483" s="2431"/>
      <c r="F483" s="2432"/>
      <c r="G483" s="2433" t="s">
        <v>15</v>
      </c>
      <c r="H483" s="2434"/>
      <c r="I483" s="2435"/>
      <c r="J483" s="2427"/>
      <c r="K483" s="2427"/>
      <c r="L483" s="2427"/>
      <c r="M483" s="2427"/>
      <c r="N483" s="2427"/>
      <c r="O483" s="2427"/>
      <c r="P483" s="2417"/>
      <c r="Q483" s="2473"/>
      <c r="R483" s="2426"/>
      <c r="S483" s="2427"/>
      <c r="T483" s="2427"/>
      <c r="U483" s="2429"/>
      <c r="V483" s="1762">
        <f t="shared" si="54"/>
        <v>97.491</v>
      </c>
      <c r="W483" s="26"/>
      <c r="X483" s="26"/>
      <c r="Y483" s="26"/>
      <c r="Z483" s="27"/>
      <c r="AA483" s="9"/>
      <c r="AB483" s="9"/>
      <c r="AC483" s="9"/>
      <c r="AD483" s="9"/>
      <c r="AE483" s="9"/>
      <c r="AF483" s="9"/>
      <c r="AG483" s="9"/>
      <c r="AH483" s="9"/>
      <c r="AI483" s="9"/>
      <c r="AJ483" s="9"/>
    </row>
    <row r="484" spans="1:36" s="9" customFormat="1" ht="30">
      <c r="A484" s="944"/>
      <c r="B484" s="922"/>
      <c r="C484" s="1433" t="s">
        <v>514</v>
      </c>
      <c r="D484" s="1434"/>
      <c r="E484" s="1435"/>
      <c r="F484" s="847"/>
      <c r="G484" s="1436"/>
      <c r="H484" s="1435"/>
      <c r="I484" s="1437"/>
      <c r="J484" s="1438" t="s">
        <v>105</v>
      </c>
      <c r="K484" s="1444">
        <v>2.4</v>
      </c>
      <c r="L484" s="1438">
        <v>1</v>
      </c>
      <c r="M484" s="1445">
        <v>0.2</v>
      </c>
      <c r="N484" s="1446">
        <f>K484*L484</f>
        <v>2.4</v>
      </c>
      <c r="O484" s="1377"/>
      <c r="P484" s="162">
        <f>(3.14*(0.3)^2)*Q484</f>
        <v>2.5434000000000001</v>
      </c>
      <c r="Q484" s="1378">
        <v>9</v>
      </c>
      <c r="R484" s="1447">
        <f>TRUNC(N484*Q484*M484-P484,3)</f>
        <v>1.776</v>
      </c>
      <c r="S484" s="46" t="s">
        <v>5</v>
      </c>
      <c r="T484" s="90" t="s">
        <v>85</v>
      </c>
      <c r="U484" s="169" t="s">
        <v>912</v>
      </c>
      <c r="V484" s="1762">
        <f t="shared" si="54"/>
        <v>97.491</v>
      </c>
      <c r="W484" s="26"/>
      <c r="X484" s="26"/>
      <c r="Y484" s="26"/>
      <c r="Z484" s="27"/>
      <c r="AA484" s="41"/>
      <c r="AB484" s="42"/>
    </row>
    <row r="485" spans="1:36" s="9" customFormat="1" ht="30">
      <c r="A485" s="944"/>
      <c r="B485" s="922"/>
      <c r="C485" s="1433" t="s">
        <v>514</v>
      </c>
      <c r="D485" s="82"/>
      <c r="E485" s="44"/>
      <c r="F485" s="83"/>
      <c r="G485" s="82"/>
      <c r="H485" s="44"/>
      <c r="I485" s="83"/>
      <c r="J485" s="1438" t="s">
        <v>105</v>
      </c>
      <c r="K485" s="1444">
        <v>2.4</v>
      </c>
      <c r="L485" s="1438">
        <v>1</v>
      </c>
      <c r="M485" s="1445">
        <v>0.2</v>
      </c>
      <c r="N485" s="1446">
        <f>K485*L485</f>
        <v>2.4</v>
      </c>
      <c r="O485" s="1377"/>
      <c r="P485" s="162">
        <f>(3.14*(0.3)^2)*Q485</f>
        <v>2.5434000000000001</v>
      </c>
      <c r="Q485" s="1378">
        <v>9</v>
      </c>
      <c r="R485" s="1447">
        <f>TRUNC(N485*Q485*M485-P485,3)*-1</f>
        <v>-1.776</v>
      </c>
      <c r="S485" s="536" t="s">
        <v>5</v>
      </c>
      <c r="T485" s="90" t="s">
        <v>86</v>
      </c>
      <c r="U485" s="39" t="s">
        <v>910</v>
      </c>
      <c r="V485" s="1762">
        <f t="shared" si="54"/>
        <v>97.491</v>
      </c>
      <c r="W485" s="26"/>
      <c r="X485" s="26"/>
      <c r="Y485" s="26"/>
      <c r="Z485" s="27"/>
      <c r="AA485" s="41"/>
      <c r="AB485" s="42"/>
    </row>
    <row r="486" spans="1:36" s="8" customFormat="1" ht="30">
      <c r="A486" s="516"/>
      <c r="B486" s="922"/>
      <c r="C486" s="1433" t="s">
        <v>514</v>
      </c>
      <c r="D486" s="82">
        <v>106</v>
      </c>
      <c r="E486" s="44" t="s">
        <v>68</v>
      </c>
      <c r="F486" s="83">
        <v>7</v>
      </c>
      <c r="G486" s="82">
        <v>112</v>
      </c>
      <c r="H486" s="44" t="s">
        <v>68</v>
      </c>
      <c r="I486" s="83">
        <v>0</v>
      </c>
      <c r="J486" s="1439" t="s">
        <v>105</v>
      </c>
      <c r="K486" s="1438">
        <f>20*(G486-D486)+I486-F486</f>
        <v>113</v>
      </c>
      <c r="L486" s="1438">
        <v>2.4</v>
      </c>
      <c r="M486" s="1445">
        <v>0.12</v>
      </c>
      <c r="N486" s="1446">
        <f>M486*L486</f>
        <v>0.28799999999999998</v>
      </c>
      <c r="O486" s="50"/>
      <c r="P486" s="48"/>
      <c r="Q486" s="53"/>
      <c r="R486" s="168">
        <f>TRUNC(K486*L486*M486,3)</f>
        <v>32.543999999999997</v>
      </c>
      <c r="S486" s="180" t="s">
        <v>5</v>
      </c>
      <c r="T486" s="90" t="s">
        <v>88</v>
      </c>
      <c r="U486" s="78" t="s">
        <v>1077</v>
      </c>
      <c r="V486" s="1762">
        <f t="shared" si="54"/>
        <v>97.491</v>
      </c>
      <c r="W486" s="938"/>
      <c r="X486" s="938"/>
      <c r="Y486" s="938"/>
      <c r="Z486" s="939"/>
    </row>
    <row r="487" spans="1:36" s="515" customFormat="1" ht="30">
      <c r="A487" s="510"/>
      <c r="B487" s="1026"/>
      <c r="C487" s="1551" t="s">
        <v>1068</v>
      </c>
      <c r="D487" s="962">
        <v>0</v>
      </c>
      <c r="E487" s="963" t="s">
        <v>68</v>
      </c>
      <c r="F487" s="964">
        <v>4.9000000000000004</v>
      </c>
      <c r="G487" s="962">
        <v>1</v>
      </c>
      <c r="H487" s="963" t="s">
        <v>68</v>
      </c>
      <c r="I487" s="964">
        <v>3</v>
      </c>
      <c r="J487" s="1538" t="s">
        <v>70</v>
      </c>
      <c r="K487" s="1544"/>
      <c r="L487" s="1539"/>
      <c r="M487" s="1353">
        <v>0.15</v>
      </c>
      <c r="N487" s="1616">
        <v>43.83</v>
      </c>
      <c r="O487" s="224"/>
      <c r="P487" s="215"/>
      <c r="Q487" s="974"/>
      <c r="R487" s="974">
        <f>TRUNC(M487*N487,3)</f>
        <v>6.5739999999999998</v>
      </c>
      <c r="S487" s="1485" t="s">
        <v>5</v>
      </c>
      <c r="T487" s="1364" t="s">
        <v>90</v>
      </c>
      <c r="U487" s="1620" t="s">
        <v>1064</v>
      </c>
      <c r="V487" s="1762">
        <f t="shared" si="54"/>
        <v>97.491</v>
      </c>
      <c r="W487" s="513"/>
      <c r="X487" s="513"/>
      <c r="Y487" s="513"/>
      <c r="Z487" s="514"/>
    </row>
    <row r="488" spans="1:36" s="515" customFormat="1" ht="30">
      <c r="A488" s="510"/>
      <c r="B488" s="1026"/>
      <c r="C488" s="1551" t="s">
        <v>1068</v>
      </c>
      <c r="D488" s="962">
        <v>1</v>
      </c>
      <c r="E488" s="963" t="s">
        <v>68</v>
      </c>
      <c r="F488" s="964">
        <v>18.149999999999999</v>
      </c>
      <c r="G488" s="962">
        <v>2</v>
      </c>
      <c r="H488" s="963" t="s">
        <v>68</v>
      </c>
      <c r="I488" s="964">
        <v>14.440000000000001</v>
      </c>
      <c r="J488" s="1538" t="s">
        <v>70</v>
      </c>
      <c r="K488" s="1544"/>
      <c r="L488" s="1539"/>
      <c r="M488" s="1353">
        <v>0.15</v>
      </c>
      <c r="N488" s="1616">
        <v>32.6</v>
      </c>
      <c r="O488" s="224"/>
      <c r="P488" s="215"/>
      <c r="Q488" s="974"/>
      <c r="R488" s="1763">
        <f t="shared" ref="R488:R499" si="55">TRUNC(M488*N488,3)</f>
        <v>4.8899999999999997</v>
      </c>
      <c r="S488" s="1485" t="s">
        <v>5</v>
      </c>
      <c r="T488" s="1364" t="s">
        <v>90</v>
      </c>
      <c r="U488" s="1620" t="s">
        <v>1064</v>
      </c>
      <c r="V488" s="1762">
        <f t="shared" si="54"/>
        <v>97.491</v>
      </c>
      <c r="W488" s="513"/>
      <c r="X488" s="513"/>
      <c r="Y488" s="513"/>
      <c r="Z488" s="514"/>
    </row>
    <row r="489" spans="1:36" s="515" customFormat="1" ht="30">
      <c r="A489" s="510"/>
      <c r="B489" s="1026"/>
      <c r="C489" s="1551" t="s">
        <v>1068</v>
      </c>
      <c r="D489" s="962">
        <v>4</v>
      </c>
      <c r="E489" s="963" t="s">
        <v>68</v>
      </c>
      <c r="F489" s="964">
        <v>3.3</v>
      </c>
      <c r="G489" s="962">
        <v>4</v>
      </c>
      <c r="H489" s="963" t="s">
        <v>68</v>
      </c>
      <c r="I489" s="964">
        <v>13.9</v>
      </c>
      <c r="J489" s="1538" t="s">
        <v>70</v>
      </c>
      <c r="K489" s="1544"/>
      <c r="L489" s="1539"/>
      <c r="M489" s="1353">
        <v>0.15</v>
      </c>
      <c r="N489" s="1616">
        <v>37.06</v>
      </c>
      <c r="O489" s="224"/>
      <c r="P489" s="215"/>
      <c r="Q489" s="974"/>
      <c r="R489" s="1763">
        <f t="shared" si="55"/>
        <v>5.5590000000000002</v>
      </c>
      <c r="S489" s="1485" t="s">
        <v>5</v>
      </c>
      <c r="T489" s="1364" t="s">
        <v>90</v>
      </c>
      <c r="U489" s="1620" t="s">
        <v>1064</v>
      </c>
      <c r="V489" s="1762">
        <f t="shared" si="54"/>
        <v>97.491</v>
      </c>
      <c r="W489" s="513"/>
      <c r="X489" s="513"/>
      <c r="Y489" s="513"/>
      <c r="Z489" s="514"/>
    </row>
    <row r="490" spans="1:36" s="515" customFormat="1" ht="30">
      <c r="A490" s="510"/>
      <c r="B490" s="1026"/>
      <c r="C490" s="1551" t="s">
        <v>1068</v>
      </c>
      <c r="D490" s="962">
        <v>4</v>
      </c>
      <c r="E490" s="963" t="s">
        <v>68</v>
      </c>
      <c r="F490" s="964">
        <v>8.25</v>
      </c>
      <c r="G490" s="962">
        <v>5</v>
      </c>
      <c r="H490" s="963" t="s">
        <v>68</v>
      </c>
      <c r="I490" s="964">
        <v>2</v>
      </c>
      <c r="J490" s="1538" t="s">
        <v>69</v>
      </c>
      <c r="K490" s="1544"/>
      <c r="L490" s="1539"/>
      <c r="M490" s="1353">
        <v>0.15</v>
      </c>
      <c r="N490" s="1616">
        <v>17.3</v>
      </c>
      <c r="O490" s="224"/>
      <c r="P490" s="215"/>
      <c r="Q490" s="974"/>
      <c r="R490" s="1763">
        <f t="shared" si="55"/>
        <v>2.5950000000000002</v>
      </c>
      <c r="S490" s="1485" t="s">
        <v>5</v>
      </c>
      <c r="T490" s="1364" t="s">
        <v>90</v>
      </c>
      <c r="U490" s="1620" t="s">
        <v>1064</v>
      </c>
      <c r="V490" s="1762">
        <f t="shared" si="54"/>
        <v>97.491</v>
      </c>
      <c r="W490" s="513"/>
      <c r="X490" s="513"/>
      <c r="Y490" s="513"/>
      <c r="Z490" s="514"/>
    </row>
    <row r="491" spans="1:36" s="515" customFormat="1" ht="30">
      <c r="A491" s="510"/>
      <c r="B491" s="1026"/>
      <c r="C491" s="1551" t="s">
        <v>1068</v>
      </c>
      <c r="D491" s="962">
        <v>4</v>
      </c>
      <c r="E491" s="963" t="s">
        <v>68</v>
      </c>
      <c r="F491" s="964">
        <v>16.600000000000001</v>
      </c>
      <c r="G491" s="962">
        <v>5</v>
      </c>
      <c r="H491" s="963" t="s">
        <v>68</v>
      </c>
      <c r="I491" s="964">
        <v>13</v>
      </c>
      <c r="J491" s="1538" t="s">
        <v>70</v>
      </c>
      <c r="K491" s="1544"/>
      <c r="L491" s="1539"/>
      <c r="M491" s="1353">
        <v>0.15</v>
      </c>
      <c r="N491" s="1616">
        <v>52.12</v>
      </c>
      <c r="O491" s="224"/>
      <c r="P491" s="215"/>
      <c r="Q491" s="974"/>
      <c r="R491" s="1763">
        <f t="shared" si="55"/>
        <v>7.8179999999999996</v>
      </c>
      <c r="S491" s="1485" t="s">
        <v>5</v>
      </c>
      <c r="T491" s="1364" t="s">
        <v>90</v>
      </c>
      <c r="U491" s="1620" t="s">
        <v>1064</v>
      </c>
      <c r="V491" s="1762">
        <f t="shared" si="54"/>
        <v>97.491</v>
      </c>
      <c r="W491" s="513"/>
      <c r="X491" s="513"/>
      <c r="Y491" s="513"/>
      <c r="Z491" s="514"/>
    </row>
    <row r="492" spans="1:36" s="515" customFormat="1" ht="30">
      <c r="A492" s="510"/>
      <c r="B492" s="1026"/>
      <c r="C492" s="1551" t="s">
        <v>1068</v>
      </c>
      <c r="D492" s="962">
        <v>6</v>
      </c>
      <c r="E492" s="963" t="s">
        <v>68</v>
      </c>
      <c r="F492" s="964">
        <v>0</v>
      </c>
      <c r="G492" s="962">
        <v>8</v>
      </c>
      <c r="H492" s="963" t="s">
        <v>68</v>
      </c>
      <c r="I492" s="964">
        <v>10</v>
      </c>
      <c r="J492" s="1538" t="s">
        <v>70</v>
      </c>
      <c r="K492" s="1544"/>
      <c r="L492" s="1539"/>
      <c r="M492" s="1353">
        <v>0.15</v>
      </c>
      <c r="N492" s="1616">
        <v>116.52</v>
      </c>
      <c r="O492" s="224"/>
      <c r="P492" s="215"/>
      <c r="Q492" s="974"/>
      <c r="R492" s="1763">
        <f t="shared" si="55"/>
        <v>17.478000000000002</v>
      </c>
      <c r="S492" s="1485" t="s">
        <v>5</v>
      </c>
      <c r="T492" s="1364" t="s">
        <v>90</v>
      </c>
      <c r="U492" s="1620" t="s">
        <v>1072</v>
      </c>
      <c r="V492" s="1762">
        <f t="shared" si="54"/>
        <v>97.491</v>
      </c>
      <c r="W492" s="513"/>
      <c r="X492" s="513"/>
      <c r="Y492" s="513"/>
      <c r="Z492" s="514"/>
    </row>
    <row r="493" spans="1:36" s="515" customFormat="1" ht="30">
      <c r="A493" s="510"/>
      <c r="B493" s="1026"/>
      <c r="C493" s="1551" t="s">
        <v>1068</v>
      </c>
      <c r="D493" s="962">
        <v>8</v>
      </c>
      <c r="E493" s="963" t="s">
        <v>68</v>
      </c>
      <c r="F493" s="964">
        <v>7</v>
      </c>
      <c r="G493" s="962">
        <v>8</v>
      </c>
      <c r="H493" s="963" t="s">
        <v>68</v>
      </c>
      <c r="I493" s="964">
        <v>9.5</v>
      </c>
      <c r="J493" s="1538" t="s">
        <v>69</v>
      </c>
      <c r="K493" s="1544"/>
      <c r="L493" s="1539"/>
      <c r="M493" s="1353">
        <v>0.15</v>
      </c>
      <c r="N493" s="1616">
        <v>3.02</v>
      </c>
      <c r="O493" s="224"/>
      <c r="P493" s="215"/>
      <c r="Q493" s="974"/>
      <c r="R493" s="1763">
        <f t="shared" si="55"/>
        <v>0.45300000000000001</v>
      </c>
      <c r="S493" s="1485" t="s">
        <v>5</v>
      </c>
      <c r="T493" s="1364" t="s">
        <v>90</v>
      </c>
      <c r="U493" s="1620" t="s">
        <v>1065</v>
      </c>
      <c r="V493" s="1762">
        <f t="shared" si="54"/>
        <v>97.491</v>
      </c>
      <c r="W493" s="513"/>
      <c r="X493" s="513"/>
      <c r="Y493" s="513"/>
      <c r="Z493" s="514"/>
    </row>
    <row r="494" spans="1:36" s="515" customFormat="1" ht="30">
      <c r="A494" s="510"/>
      <c r="B494" s="1026"/>
      <c r="C494" s="1551" t="s">
        <v>1068</v>
      </c>
      <c r="D494" s="962">
        <v>8</v>
      </c>
      <c r="E494" s="963" t="s">
        <v>68</v>
      </c>
      <c r="F494" s="964">
        <v>17</v>
      </c>
      <c r="G494" s="962">
        <v>8</v>
      </c>
      <c r="H494" s="963" t="s">
        <v>68</v>
      </c>
      <c r="I494" s="964">
        <v>18.399999999999999</v>
      </c>
      <c r="J494" s="1538" t="s">
        <v>69</v>
      </c>
      <c r="K494" s="1544"/>
      <c r="L494" s="1539"/>
      <c r="M494" s="1353">
        <v>0.15</v>
      </c>
      <c r="N494" s="1616">
        <v>1.31</v>
      </c>
      <c r="O494" s="224"/>
      <c r="P494" s="215"/>
      <c r="Q494" s="974"/>
      <c r="R494" s="1763">
        <f t="shared" si="55"/>
        <v>0.19600000000000001</v>
      </c>
      <c r="S494" s="1485" t="s">
        <v>5</v>
      </c>
      <c r="T494" s="1364" t="s">
        <v>90</v>
      </c>
      <c r="U494" s="1620" t="s">
        <v>1065</v>
      </c>
      <c r="V494" s="1762">
        <f t="shared" si="54"/>
        <v>97.491</v>
      </c>
      <c r="W494" s="513"/>
      <c r="X494" s="513"/>
      <c r="Y494" s="513"/>
      <c r="Z494" s="514"/>
    </row>
    <row r="495" spans="1:36" s="515" customFormat="1" ht="30">
      <c r="A495" s="510"/>
      <c r="B495" s="1026"/>
      <c r="C495" s="1551" t="s">
        <v>1068</v>
      </c>
      <c r="D495" s="962">
        <v>8</v>
      </c>
      <c r="E495" s="963" t="s">
        <v>68</v>
      </c>
      <c r="F495" s="964">
        <v>17</v>
      </c>
      <c r="G495" s="962">
        <v>9</v>
      </c>
      <c r="H495" s="963" t="s">
        <v>68</v>
      </c>
      <c r="I495" s="964">
        <v>15.3</v>
      </c>
      <c r="J495" s="1538" t="s">
        <v>70</v>
      </c>
      <c r="K495" s="1544"/>
      <c r="L495" s="1539"/>
      <c r="M495" s="1353">
        <v>0.15</v>
      </c>
      <c r="N495" s="1616">
        <v>34.54</v>
      </c>
      <c r="O495" s="224"/>
      <c r="P495" s="215"/>
      <c r="Q495" s="974"/>
      <c r="R495" s="1763">
        <f t="shared" si="55"/>
        <v>5.181</v>
      </c>
      <c r="S495" s="1485" t="s">
        <v>5</v>
      </c>
      <c r="T495" s="1364" t="s">
        <v>90</v>
      </c>
      <c r="U495" s="1620" t="s">
        <v>1065</v>
      </c>
      <c r="V495" s="1762">
        <f t="shared" si="54"/>
        <v>97.491</v>
      </c>
      <c r="W495" s="513"/>
      <c r="X495" s="513"/>
      <c r="Y495" s="513"/>
      <c r="Z495" s="514"/>
    </row>
    <row r="496" spans="1:36" s="515" customFormat="1" ht="30">
      <c r="A496" s="510"/>
      <c r="B496" s="968"/>
      <c r="C496" s="1770" t="s">
        <v>1068</v>
      </c>
      <c r="D496" s="962">
        <v>10</v>
      </c>
      <c r="E496" s="963" t="s">
        <v>68</v>
      </c>
      <c r="F496" s="964">
        <v>5.4</v>
      </c>
      <c r="G496" s="962">
        <v>10</v>
      </c>
      <c r="H496" s="963" t="s">
        <v>68</v>
      </c>
      <c r="I496" s="964">
        <v>12</v>
      </c>
      <c r="J496" s="1538" t="s">
        <v>69</v>
      </c>
      <c r="K496" s="1638"/>
      <c r="L496" s="1538"/>
      <c r="M496" s="964">
        <v>0.15</v>
      </c>
      <c r="N496" s="1771">
        <v>10.98</v>
      </c>
      <c r="O496" s="224"/>
      <c r="P496" s="215"/>
      <c r="Q496" s="974"/>
      <c r="R496" s="1763">
        <f t="shared" si="55"/>
        <v>1.647</v>
      </c>
      <c r="S496" s="1485" t="s">
        <v>5</v>
      </c>
      <c r="T496" s="972" t="s">
        <v>90</v>
      </c>
      <c r="U496" s="956" t="s">
        <v>1065</v>
      </c>
      <c r="V496" s="1762">
        <f t="shared" si="54"/>
        <v>97.491</v>
      </c>
      <c r="W496" s="513"/>
      <c r="X496" s="513"/>
      <c r="Y496" s="513"/>
      <c r="Z496" s="514"/>
    </row>
    <row r="497" spans="1:36" s="515" customFormat="1" ht="30">
      <c r="A497" s="510"/>
      <c r="B497" s="1942"/>
      <c r="C497" s="1943" t="s">
        <v>1068</v>
      </c>
      <c r="D497" s="1048">
        <v>10</v>
      </c>
      <c r="E497" s="1049" t="s">
        <v>68</v>
      </c>
      <c r="F497" s="1050">
        <v>18.8</v>
      </c>
      <c r="G497" s="1048">
        <v>11</v>
      </c>
      <c r="H497" s="1049" t="s">
        <v>68</v>
      </c>
      <c r="I497" s="1050">
        <v>4.7</v>
      </c>
      <c r="J497" s="1906" t="s">
        <v>70</v>
      </c>
      <c r="K497" s="1944"/>
      <c r="L497" s="1906"/>
      <c r="M497" s="1050">
        <v>0.15</v>
      </c>
      <c r="N497" s="1945">
        <v>9.4700000000000006</v>
      </c>
      <c r="O497" s="984"/>
      <c r="P497" s="982"/>
      <c r="Q497" s="1946"/>
      <c r="R497" s="1947">
        <f t="shared" si="55"/>
        <v>1.42</v>
      </c>
      <c r="S497" s="1054" t="s">
        <v>5</v>
      </c>
      <c r="T497" s="986" t="s">
        <v>90</v>
      </c>
      <c r="U497" s="1694" t="s">
        <v>1065</v>
      </c>
      <c r="V497" s="1762">
        <f t="shared" si="54"/>
        <v>97.491</v>
      </c>
      <c r="W497" s="513"/>
      <c r="X497" s="513"/>
      <c r="Y497" s="513"/>
      <c r="Z497" s="514"/>
    </row>
    <row r="498" spans="1:36" s="515" customFormat="1" ht="30">
      <c r="A498" s="510"/>
      <c r="B498" s="1026"/>
      <c r="C498" s="1551" t="s">
        <v>1068</v>
      </c>
      <c r="D498" s="962">
        <v>14</v>
      </c>
      <c r="E498" s="963" t="s">
        <v>68</v>
      </c>
      <c r="F498" s="964">
        <v>8.3000000000000007</v>
      </c>
      <c r="G498" s="962">
        <v>14</v>
      </c>
      <c r="H498" s="963" t="s">
        <v>68</v>
      </c>
      <c r="I498" s="964">
        <v>13</v>
      </c>
      <c r="J498" s="1538" t="s">
        <v>70</v>
      </c>
      <c r="K498" s="1544"/>
      <c r="L498" s="1539"/>
      <c r="M498" s="1353">
        <v>0.15</v>
      </c>
      <c r="N498" s="1616">
        <v>40.22</v>
      </c>
      <c r="O498" s="224"/>
      <c r="P498" s="215"/>
      <c r="Q498" s="974"/>
      <c r="R498" s="1763">
        <f t="shared" si="55"/>
        <v>6.0330000000000004</v>
      </c>
      <c r="S498" s="1485" t="s">
        <v>5</v>
      </c>
      <c r="T498" s="1364" t="s">
        <v>90</v>
      </c>
      <c r="U498" s="1620" t="s">
        <v>1065</v>
      </c>
      <c r="V498" s="1762">
        <f t="shared" si="54"/>
        <v>97.491</v>
      </c>
      <c r="W498" s="513"/>
      <c r="X498" s="513"/>
      <c r="Y498" s="513"/>
      <c r="Z498" s="514"/>
    </row>
    <row r="499" spans="1:36" s="515" customFormat="1" ht="30">
      <c r="A499" s="510"/>
      <c r="B499" s="1767"/>
      <c r="C499" s="1350" t="s">
        <v>1068</v>
      </c>
      <c r="D499" s="1351">
        <v>14</v>
      </c>
      <c r="E499" s="1352" t="s">
        <v>68</v>
      </c>
      <c r="F499" s="1353">
        <v>15</v>
      </c>
      <c r="G499" s="1351">
        <v>15</v>
      </c>
      <c r="H499" s="1352" t="s">
        <v>68</v>
      </c>
      <c r="I499" s="1353">
        <v>17.3</v>
      </c>
      <c r="J499" s="1356" t="s">
        <v>69</v>
      </c>
      <c r="K499" s="1357"/>
      <c r="L499" s="1358"/>
      <c r="M499" s="1353">
        <v>0.15</v>
      </c>
      <c r="N499" s="1616">
        <v>43.44</v>
      </c>
      <c r="O499" s="1360"/>
      <c r="P499" s="1358"/>
      <c r="Q499" s="1768"/>
      <c r="R499" s="1769">
        <f t="shared" si="55"/>
        <v>6.516</v>
      </c>
      <c r="S499" s="1419" t="s">
        <v>5</v>
      </c>
      <c r="T499" s="1364" t="s">
        <v>90</v>
      </c>
      <c r="U499" s="1620" t="s">
        <v>1073</v>
      </c>
      <c r="V499" s="1762">
        <f>V506</f>
        <v>97.491</v>
      </c>
      <c r="AB499" s="961"/>
    </row>
    <row r="500" spans="1:36" s="515" customFormat="1" ht="30">
      <c r="A500" s="510"/>
      <c r="B500" s="968"/>
      <c r="C500" s="1770" t="s">
        <v>1069</v>
      </c>
      <c r="D500" s="962">
        <v>100</v>
      </c>
      <c r="E500" s="963" t="s">
        <v>68</v>
      </c>
      <c r="F500" s="964">
        <v>5.45</v>
      </c>
      <c r="G500" s="962">
        <v>100</v>
      </c>
      <c r="H500" s="963" t="s">
        <v>68</v>
      </c>
      <c r="I500" s="964">
        <v>13.9</v>
      </c>
      <c r="J500" s="1538" t="s">
        <v>70</v>
      </c>
      <c r="K500" s="1638"/>
      <c r="L500" s="1538"/>
      <c r="M500" s="1353">
        <v>0.15</v>
      </c>
      <c r="N500" s="1771">
        <v>15.65</v>
      </c>
      <c r="O500" s="224"/>
      <c r="P500" s="215"/>
      <c r="Q500" s="974"/>
      <c r="R500" s="1763">
        <f>TRUNC(M500*N500,3)</f>
        <v>2.347</v>
      </c>
      <c r="S500" s="1485" t="s">
        <v>5</v>
      </c>
      <c r="T500" s="972" t="s">
        <v>90</v>
      </c>
      <c r="U500" s="956" t="s">
        <v>1066</v>
      </c>
      <c r="V500" s="1762">
        <f t="shared" si="54"/>
        <v>97.491</v>
      </c>
      <c r="W500" s="513"/>
      <c r="X500" s="513"/>
      <c r="Y500" s="513"/>
      <c r="Z500" s="514"/>
    </row>
    <row r="501" spans="1:36" s="515" customFormat="1" ht="30">
      <c r="A501" s="510"/>
      <c r="B501" s="1026"/>
      <c r="C501" s="1551" t="s">
        <v>1069</v>
      </c>
      <c r="D501" s="962">
        <v>101</v>
      </c>
      <c r="E501" s="963" t="s">
        <v>68</v>
      </c>
      <c r="F501" s="964">
        <v>0</v>
      </c>
      <c r="G501" s="962">
        <v>101</v>
      </c>
      <c r="H501" s="963" t="s">
        <v>68</v>
      </c>
      <c r="I501" s="964">
        <v>13.55</v>
      </c>
      <c r="J501" s="1538" t="s">
        <v>70</v>
      </c>
      <c r="K501" s="1544"/>
      <c r="L501" s="1539"/>
      <c r="M501" s="1353">
        <v>0.15</v>
      </c>
      <c r="N501" s="1616">
        <v>21.97</v>
      </c>
      <c r="O501" s="224"/>
      <c r="P501" s="215"/>
      <c r="Q501" s="974"/>
      <c r="R501" s="1763">
        <f t="shared" ref="R501:R505" si="56">TRUNC(M501*N501,3)</f>
        <v>3.2949999999999999</v>
      </c>
      <c r="S501" s="1485" t="s">
        <v>5</v>
      </c>
      <c r="T501" s="1364" t="s">
        <v>90</v>
      </c>
      <c r="U501" s="1620" t="s">
        <v>1066</v>
      </c>
      <c r="V501" s="1762">
        <f t="shared" si="54"/>
        <v>97.491</v>
      </c>
      <c r="W501" s="513"/>
      <c r="X501" s="513"/>
      <c r="Y501" s="513"/>
      <c r="Z501" s="514"/>
    </row>
    <row r="502" spans="1:36" s="515" customFormat="1" ht="30">
      <c r="A502" s="510"/>
      <c r="B502" s="1026"/>
      <c r="C502" s="1551" t="s">
        <v>1069</v>
      </c>
      <c r="D502" s="962">
        <v>104</v>
      </c>
      <c r="E502" s="963" t="s">
        <v>68</v>
      </c>
      <c r="F502" s="964">
        <v>4.8</v>
      </c>
      <c r="G502" s="962">
        <v>105</v>
      </c>
      <c r="H502" s="963" t="s">
        <v>68</v>
      </c>
      <c r="I502" s="964">
        <v>19.399999999999999</v>
      </c>
      <c r="J502" s="1538" t="s">
        <v>70</v>
      </c>
      <c r="K502" s="1544"/>
      <c r="L502" s="1539"/>
      <c r="M502" s="1353">
        <v>0.15</v>
      </c>
      <c r="N502" s="1616">
        <v>71.260000000000005</v>
      </c>
      <c r="O502" s="224"/>
      <c r="P502" s="215"/>
      <c r="Q502" s="974"/>
      <c r="R502" s="1763">
        <f t="shared" si="56"/>
        <v>10.689</v>
      </c>
      <c r="S502" s="1485" t="s">
        <v>5</v>
      </c>
      <c r="T502" s="1364" t="s">
        <v>90</v>
      </c>
      <c r="U502" s="1620" t="s">
        <v>1066</v>
      </c>
      <c r="V502" s="1762">
        <f t="shared" si="54"/>
        <v>97.491</v>
      </c>
      <c r="W502" s="513"/>
      <c r="X502" s="513"/>
      <c r="Y502" s="513"/>
      <c r="Z502" s="514"/>
    </row>
    <row r="503" spans="1:36" s="515" customFormat="1" ht="30">
      <c r="A503" s="510"/>
      <c r="B503" s="1026"/>
      <c r="C503" s="1551" t="s">
        <v>1069</v>
      </c>
      <c r="D503" s="962">
        <v>105</v>
      </c>
      <c r="E503" s="963" t="s">
        <v>68</v>
      </c>
      <c r="F503" s="964">
        <v>8.5</v>
      </c>
      <c r="G503" s="962">
        <v>105</v>
      </c>
      <c r="H503" s="963" t="s">
        <v>68</v>
      </c>
      <c r="I503" s="964">
        <v>15.1</v>
      </c>
      <c r="J503" s="1538" t="s">
        <v>69</v>
      </c>
      <c r="K503" s="1544"/>
      <c r="L503" s="1539"/>
      <c r="M503" s="1353">
        <v>0.15</v>
      </c>
      <c r="N503" s="1616">
        <v>17.82</v>
      </c>
      <c r="O503" s="224"/>
      <c r="P503" s="215"/>
      <c r="Q503" s="974"/>
      <c r="R503" s="1763">
        <f t="shared" si="56"/>
        <v>2.673</v>
      </c>
      <c r="S503" s="1485" t="s">
        <v>5</v>
      </c>
      <c r="T503" s="1364" t="s">
        <v>90</v>
      </c>
      <c r="U503" s="1620" t="s">
        <v>1066</v>
      </c>
      <c r="V503" s="1762">
        <f t="shared" si="54"/>
        <v>97.491</v>
      </c>
      <c r="W503" s="513"/>
      <c r="X503" s="513"/>
      <c r="Y503" s="513"/>
      <c r="Z503" s="514"/>
    </row>
    <row r="504" spans="1:36" s="515" customFormat="1" ht="30">
      <c r="A504" s="510"/>
      <c r="B504" s="1026"/>
      <c r="C504" s="1551" t="s">
        <v>1069</v>
      </c>
      <c r="D504" s="962">
        <v>106</v>
      </c>
      <c r="E504" s="963" t="s">
        <v>68</v>
      </c>
      <c r="F504" s="964">
        <v>0</v>
      </c>
      <c r="G504" s="962">
        <v>106</v>
      </c>
      <c r="H504" s="963" t="s">
        <v>68</v>
      </c>
      <c r="I504" s="964">
        <v>3.6</v>
      </c>
      <c r="J504" s="1538" t="s">
        <v>70</v>
      </c>
      <c r="K504" s="1544"/>
      <c r="L504" s="1539"/>
      <c r="M504" s="1353">
        <v>0.15</v>
      </c>
      <c r="N504" s="1616">
        <v>10.59</v>
      </c>
      <c r="O504" s="224"/>
      <c r="P504" s="215"/>
      <c r="Q504" s="974"/>
      <c r="R504" s="1763">
        <f t="shared" si="56"/>
        <v>1.5880000000000001</v>
      </c>
      <c r="S504" s="1485" t="s">
        <v>5</v>
      </c>
      <c r="T504" s="1364" t="s">
        <v>90</v>
      </c>
      <c r="U504" s="1620" t="s">
        <v>1066</v>
      </c>
      <c r="V504" s="1762">
        <f t="shared" si="54"/>
        <v>97.491</v>
      </c>
      <c r="W504" s="513"/>
      <c r="X504" s="513"/>
      <c r="Y504" s="513"/>
      <c r="Z504" s="514"/>
    </row>
    <row r="505" spans="1:36" s="515" customFormat="1" ht="30">
      <c r="A505" s="510"/>
      <c r="B505" s="1042"/>
      <c r="C505" s="1746" t="s">
        <v>1069</v>
      </c>
      <c r="D505" s="1096">
        <v>108</v>
      </c>
      <c r="E505" s="1097" t="s">
        <v>68</v>
      </c>
      <c r="F505" s="1098">
        <v>0</v>
      </c>
      <c r="G505" s="1096">
        <v>109</v>
      </c>
      <c r="H505" s="1097" t="s">
        <v>68</v>
      </c>
      <c r="I505" s="1098">
        <v>12</v>
      </c>
      <c r="J505" s="1750" t="s">
        <v>69</v>
      </c>
      <c r="K505" s="1764"/>
      <c r="L505" s="1750"/>
      <c r="M505" s="1098">
        <v>0.15</v>
      </c>
      <c r="N505" s="1765">
        <v>70.260000000000005</v>
      </c>
      <c r="O505" s="979"/>
      <c r="P505" s="978"/>
      <c r="Q505" s="1113"/>
      <c r="R505" s="1766">
        <f t="shared" si="56"/>
        <v>10.539</v>
      </c>
      <c r="S505" s="1106" t="s">
        <v>5</v>
      </c>
      <c r="T505" s="1027" t="s">
        <v>90</v>
      </c>
      <c r="U505" s="1078" t="s">
        <v>1067</v>
      </c>
      <c r="V505" s="1762">
        <f t="shared" si="54"/>
        <v>97.491</v>
      </c>
      <c r="W505" s="513"/>
      <c r="X505" s="513"/>
      <c r="Y505" s="513"/>
      <c r="Z505" s="514"/>
    </row>
    <row r="506" spans="1:36" s="8" customFormat="1" ht="15.75">
      <c r="A506" s="516"/>
      <c r="B506" s="877"/>
      <c r="C506" s="113"/>
      <c r="D506" s="2459" t="s">
        <v>18</v>
      </c>
      <c r="E506" s="2460"/>
      <c r="F506" s="2460"/>
      <c r="G506" s="2460"/>
      <c r="H506" s="2460"/>
      <c r="I506" s="2461"/>
      <c r="J506" s="2462">
        <f>VLOOKUP(A508,'12 - FINANCEIRA'!_xlnm.Print_Area,6,FALSE)</f>
        <v>252.38</v>
      </c>
      <c r="K506" s="2463"/>
      <c r="L506" s="1744" t="str">
        <f>VLOOKUP(A508,'12 - FINANCEIRA'!_xlnm.Print_Area,4,FALSE)</f>
        <v>m³</v>
      </c>
      <c r="M506" s="2464" t="s">
        <v>19</v>
      </c>
      <c r="N506" s="2465"/>
      <c r="O506" s="2465"/>
      <c r="P506" s="2465"/>
      <c r="Q506" s="2466"/>
      <c r="R506" s="1154">
        <f>SUM(R484:R505)</f>
        <v>130.035</v>
      </c>
      <c r="S506" s="1745" t="str">
        <f>L506</f>
        <v>m³</v>
      </c>
      <c r="T506" s="680"/>
      <c r="U506" s="663"/>
      <c r="V506" s="1314">
        <f t="shared" si="54"/>
        <v>97.491</v>
      </c>
      <c r="AB506" s="15"/>
    </row>
    <row r="507" spans="1:36" s="8" customFormat="1" ht="15.75">
      <c r="A507" s="516"/>
      <c r="B507" s="877"/>
      <c r="C507" s="681"/>
      <c r="D507" s="2444" t="s">
        <v>20</v>
      </c>
      <c r="E507" s="2445"/>
      <c r="F507" s="2445"/>
      <c r="G507" s="2445"/>
      <c r="H507" s="2445"/>
      <c r="I507" s="2446"/>
      <c r="J507" s="2450">
        <f>R506/J506</f>
        <v>0.5152349631508043</v>
      </c>
      <c r="K507" s="2451"/>
      <c r="L507" s="2454"/>
      <c r="M507" s="2441" t="s">
        <v>21</v>
      </c>
      <c r="N507" s="2442"/>
      <c r="O507" s="2442"/>
      <c r="P507" s="2442"/>
      <c r="Q507" s="2443"/>
      <c r="R507" s="878">
        <f>VLOOKUP(A508,'12 - FINANCEIRA'!_xlnm.Print_Area,8,FALSE)</f>
        <v>32.543999999999997</v>
      </c>
      <c r="S507" s="879" t="str">
        <f>L506</f>
        <v>m³</v>
      </c>
      <c r="T507" s="680"/>
      <c r="U507" s="663"/>
      <c r="V507" s="1314">
        <f t="shared" si="54"/>
        <v>97.491</v>
      </c>
      <c r="AB507" s="15"/>
    </row>
    <row r="508" spans="1:36" s="8" customFormat="1" ht="15.75">
      <c r="A508" s="516" t="s">
        <v>500</v>
      </c>
      <c r="B508" s="877"/>
      <c r="C508" s="113"/>
      <c r="D508" s="2447"/>
      <c r="E508" s="2448"/>
      <c r="F508" s="2448"/>
      <c r="G508" s="2448"/>
      <c r="H508" s="2448"/>
      <c r="I508" s="2449"/>
      <c r="J508" s="2452"/>
      <c r="K508" s="2453"/>
      <c r="L508" s="2455"/>
      <c r="M508" s="2456" t="s">
        <v>22</v>
      </c>
      <c r="N508" s="2457"/>
      <c r="O508" s="2457"/>
      <c r="P508" s="2457"/>
      <c r="Q508" s="2458"/>
      <c r="R508" s="521">
        <f>R506-R507</f>
        <v>97.491</v>
      </c>
      <c r="S508" s="522" t="str">
        <f>L506</f>
        <v>m³</v>
      </c>
      <c r="T508" s="680"/>
      <c r="U508" s="663"/>
      <c r="V508" s="1314">
        <f>R508</f>
        <v>97.491</v>
      </c>
      <c r="AB508" s="15"/>
    </row>
    <row r="509" spans="1:36" s="8" customFormat="1" ht="15.75">
      <c r="A509" s="516"/>
      <c r="B509" s="523"/>
      <c r="C509" s="524"/>
      <c r="D509" s="526"/>
      <c r="E509" s="526"/>
      <c r="F509" s="526"/>
      <c r="G509" s="525"/>
      <c r="H509" s="525"/>
      <c r="I509" s="525"/>
      <c r="J509" s="527"/>
      <c r="K509" s="528"/>
      <c r="L509" s="529"/>
      <c r="M509" s="530"/>
      <c r="N509" s="530"/>
      <c r="O509" s="530"/>
      <c r="P509" s="530"/>
      <c r="Q509" s="530"/>
      <c r="R509" s="531"/>
      <c r="S509" s="532"/>
      <c r="T509" s="533"/>
      <c r="U509" s="534"/>
      <c r="V509" s="1658">
        <f>SUM(V482:V508)</f>
        <v>2632.2570000000001</v>
      </c>
      <c r="AB509" s="15"/>
    </row>
    <row r="510" spans="1:36" s="497" customFormat="1" ht="15.75" customHeight="1">
      <c r="A510" s="495"/>
      <c r="B510" s="2423" t="str">
        <f>VLOOKUP(A536,'12 - FINANCEIRA'!_xlnm.Print_Area,1,FALSE)</f>
        <v>2.5.6</v>
      </c>
      <c r="C510" s="2421" t="str">
        <f>VLOOKUP(A536,'12 - FINANCEIRA'!_xlnm.Print_Area,3,FALSE)</f>
        <v>Serviço de bombeamento de concreto</v>
      </c>
      <c r="D510" s="2479" t="s">
        <v>97</v>
      </c>
      <c r="E510" s="2480"/>
      <c r="F510" s="2480"/>
      <c r="G510" s="2480"/>
      <c r="H510" s="2480"/>
      <c r="I510" s="2481"/>
      <c r="J510" s="2416" t="s">
        <v>98</v>
      </c>
      <c r="K510" s="2416" t="s">
        <v>102</v>
      </c>
      <c r="L510" s="2416" t="s">
        <v>103</v>
      </c>
      <c r="M510" s="2416" t="s">
        <v>228</v>
      </c>
      <c r="N510" s="2416" t="s">
        <v>229</v>
      </c>
      <c r="O510" s="2416" t="s">
        <v>107</v>
      </c>
      <c r="P510" s="2416" t="s">
        <v>907</v>
      </c>
      <c r="Q510" s="2425" t="s">
        <v>2</v>
      </c>
      <c r="R510" s="2425" t="s">
        <v>2</v>
      </c>
      <c r="S510" s="2416" t="s">
        <v>99</v>
      </c>
      <c r="T510" s="2416" t="s">
        <v>17</v>
      </c>
      <c r="U510" s="2428" t="s">
        <v>362</v>
      </c>
      <c r="V510" s="1314">
        <f t="shared" ref="V510:V535" si="57">V511</f>
        <v>97.491</v>
      </c>
      <c r="W510" s="26"/>
      <c r="X510" s="26"/>
      <c r="Y510" s="26"/>
      <c r="Z510" s="27"/>
      <c r="AA510" s="9"/>
      <c r="AB510" s="9"/>
      <c r="AC510" s="9"/>
      <c r="AD510" s="9"/>
      <c r="AE510" s="9"/>
      <c r="AF510" s="9"/>
      <c r="AG510" s="9"/>
      <c r="AH510" s="9"/>
      <c r="AI510" s="9"/>
      <c r="AJ510" s="9"/>
    </row>
    <row r="511" spans="1:36" s="497" customFormat="1" ht="15.75">
      <c r="A511" s="495"/>
      <c r="B511" s="2471" t="e">
        <f>LEFT(#REF!,5)</f>
        <v>#REF!</v>
      </c>
      <c r="C511" s="2472" t="e">
        <f>VLOOKUP(LEFT(#REF!,5),'12 - FINANCEIRA'!_xlnm.Print_Area,2,FALSE)</f>
        <v>#REF!</v>
      </c>
      <c r="D511" s="2430" t="s">
        <v>14</v>
      </c>
      <c r="E511" s="2431"/>
      <c r="F511" s="2432"/>
      <c r="G511" s="2433" t="s">
        <v>15</v>
      </c>
      <c r="H511" s="2434"/>
      <c r="I511" s="2435"/>
      <c r="J511" s="2427"/>
      <c r="K511" s="2427"/>
      <c r="L511" s="2427"/>
      <c r="M511" s="2427"/>
      <c r="N511" s="2427"/>
      <c r="O511" s="2427"/>
      <c r="P511" s="2417"/>
      <c r="Q511" s="2426"/>
      <c r="R511" s="2426"/>
      <c r="S511" s="2427"/>
      <c r="T511" s="2427"/>
      <c r="U511" s="2429"/>
      <c r="V511" s="1314">
        <f t="shared" si="57"/>
        <v>97.491</v>
      </c>
      <c r="W511" s="26"/>
      <c r="X511" s="26"/>
      <c r="Y511" s="26"/>
      <c r="Z511" s="27"/>
      <c r="AA511" s="9"/>
      <c r="AB511" s="9"/>
      <c r="AC511" s="9"/>
      <c r="AD511" s="9"/>
      <c r="AE511" s="9"/>
      <c r="AF511" s="9"/>
      <c r="AG511" s="9"/>
      <c r="AH511" s="9"/>
      <c r="AI511" s="9"/>
      <c r="AJ511" s="9"/>
    </row>
    <row r="512" spans="1:36" s="9" customFormat="1" ht="15">
      <c r="A512" s="944"/>
      <c r="B512" s="922"/>
      <c r="C512" s="1433" t="s">
        <v>688</v>
      </c>
      <c r="D512" s="1434"/>
      <c r="E512" s="1435"/>
      <c r="F512" s="847"/>
      <c r="G512" s="1436"/>
      <c r="H512" s="1435"/>
      <c r="I512" s="1437"/>
      <c r="J512" s="1438" t="s">
        <v>105</v>
      </c>
      <c r="K512" s="1444">
        <v>2.4</v>
      </c>
      <c r="L512" s="1438">
        <v>1</v>
      </c>
      <c r="M512" s="1445">
        <v>0.2</v>
      </c>
      <c r="N512" s="1446">
        <f>K512*L512</f>
        <v>2.4</v>
      </c>
      <c r="O512" s="1377"/>
      <c r="P512" s="162">
        <f>(3.14*(0.3)^2)*Q512</f>
        <v>2.5434000000000001</v>
      </c>
      <c r="Q512" s="1378">
        <v>9</v>
      </c>
      <c r="R512" s="1447">
        <f>TRUNC(N512*Q512*M512-P512,3)</f>
        <v>1.776</v>
      </c>
      <c r="S512" s="46" t="s">
        <v>5</v>
      </c>
      <c r="T512" s="90" t="s">
        <v>85</v>
      </c>
      <c r="U512" s="169" t="s">
        <v>912</v>
      </c>
      <c r="V512" s="1314">
        <f t="shared" si="57"/>
        <v>97.491</v>
      </c>
      <c r="W512" s="26"/>
      <c r="X512" s="26"/>
      <c r="Y512" s="26"/>
      <c r="Z512" s="27"/>
      <c r="AA512" s="41"/>
      <c r="AB512" s="42"/>
    </row>
    <row r="513" spans="1:28" s="9" customFormat="1" ht="15">
      <c r="A513" s="944"/>
      <c r="B513" s="922"/>
      <c r="C513" s="1433" t="s">
        <v>688</v>
      </c>
      <c r="D513" s="82"/>
      <c r="E513" s="44"/>
      <c r="F513" s="83"/>
      <c r="G513" s="82"/>
      <c r="H513" s="44"/>
      <c r="I513" s="83"/>
      <c r="J513" s="1438" t="s">
        <v>105</v>
      </c>
      <c r="K513" s="1444">
        <v>2.4</v>
      </c>
      <c r="L513" s="1438">
        <v>1</v>
      </c>
      <c r="M513" s="1445">
        <v>0.2</v>
      </c>
      <c r="N513" s="1446">
        <f>K513*L513</f>
        <v>2.4</v>
      </c>
      <c r="O513" s="1377"/>
      <c r="P513" s="162">
        <f>(3.14*(0.3)^2)*Q513</f>
        <v>2.5434000000000001</v>
      </c>
      <c r="Q513" s="1378">
        <v>9</v>
      </c>
      <c r="R513" s="1447">
        <f>TRUNC(N513*Q513*M513-P513,3)*-1</f>
        <v>-1.776</v>
      </c>
      <c r="S513" s="536" t="s">
        <v>5</v>
      </c>
      <c r="T513" s="90" t="s">
        <v>86</v>
      </c>
      <c r="U513" s="39" t="s">
        <v>910</v>
      </c>
      <c r="V513" s="1314">
        <f>V514</f>
        <v>97.491</v>
      </c>
      <c r="W513" s="26"/>
      <c r="X513" s="26"/>
      <c r="Y513" s="26"/>
      <c r="Z513" s="27"/>
      <c r="AA513" s="41"/>
      <c r="AB513" s="42"/>
    </row>
    <row r="514" spans="1:28" s="515" customFormat="1" ht="30">
      <c r="A514" s="510"/>
      <c r="B514" s="500"/>
      <c r="C514" s="1433" t="s">
        <v>688</v>
      </c>
      <c r="D514" s="31">
        <v>106</v>
      </c>
      <c r="E514" s="32" t="s">
        <v>68</v>
      </c>
      <c r="F514" s="33">
        <v>7</v>
      </c>
      <c r="G514" s="31">
        <v>112</v>
      </c>
      <c r="H514" s="32" t="s">
        <v>68</v>
      </c>
      <c r="I514" s="33">
        <v>0</v>
      </c>
      <c r="J514" s="1439" t="s">
        <v>105</v>
      </c>
      <c r="K514" s="1438">
        <f>20*(G514-D514)+I514-F514</f>
        <v>113</v>
      </c>
      <c r="L514" s="1438">
        <v>2.4</v>
      </c>
      <c r="M514" s="1438">
        <v>0.12</v>
      </c>
      <c r="N514" s="1794">
        <f>M514*L514</f>
        <v>0.28799999999999998</v>
      </c>
      <c r="O514" s="81"/>
      <c r="P514" s="35"/>
      <c r="Q514" s="37"/>
      <c r="R514" s="883">
        <f>TRUNC(K514*L514*M514,3)</f>
        <v>32.543999999999997</v>
      </c>
      <c r="S514" s="884" t="s">
        <v>5</v>
      </c>
      <c r="T514" s="857" t="s">
        <v>88</v>
      </c>
      <c r="U514" s="78" t="s">
        <v>1077</v>
      </c>
      <c r="V514" s="1314">
        <f t="shared" si="57"/>
        <v>97.491</v>
      </c>
      <c r="W514" s="938"/>
      <c r="X514" s="938"/>
      <c r="Y514" s="513"/>
      <c r="Z514" s="514"/>
    </row>
    <row r="515" spans="1:28" s="515" customFormat="1" ht="32.1" customHeight="1">
      <c r="A515" s="510"/>
      <c r="B515" s="1372"/>
      <c r="C515" s="1551" t="s">
        <v>1070</v>
      </c>
      <c r="D515" s="156">
        <v>0</v>
      </c>
      <c r="E515" s="86" t="s">
        <v>68</v>
      </c>
      <c r="F515" s="155">
        <v>4.9000000000000004</v>
      </c>
      <c r="G515" s="156">
        <v>1</v>
      </c>
      <c r="H515" s="86" t="s">
        <v>68</v>
      </c>
      <c r="I515" s="155">
        <v>3</v>
      </c>
      <c r="J515" s="1538" t="s">
        <v>70</v>
      </c>
      <c r="K515" s="1544"/>
      <c r="L515" s="1539"/>
      <c r="M515" s="1353">
        <v>0.15</v>
      </c>
      <c r="N515" s="1616">
        <v>43.83</v>
      </c>
      <c r="O515" s="135"/>
      <c r="P515" s="134"/>
      <c r="Q515" s="133"/>
      <c r="R515" s="133">
        <f>TRUNC(M515*N515,3)</f>
        <v>6.5739999999999998</v>
      </c>
      <c r="S515" s="225" t="s">
        <v>5</v>
      </c>
      <c r="T515" s="1367" t="s">
        <v>90</v>
      </c>
      <c r="U515" s="1620"/>
      <c r="V515" s="1314">
        <f t="shared" si="57"/>
        <v>97.491</v>
      </c>
      <c r="W515" s="938"/>
      <c r="X515" s="938"/>
      <c r="Y515" s="513"/>
      <c r="Z515" s="514"/>
    </row>
    <row r="516" spans="1:28" s="515" customFormat="1" ht="32.1" customHeight="1">
      <c r="A516" s="510"/>
      <c r="B516" s="1372"/>
      <c r="C516" s="1551" t="s">
        <v>1070</v>
      </c>
      <c r="D516" s="156">
        <v>1</v>
      </c>
      <c r="E516" s="86" t="s">
        <v>68</v>
      </c>
      <c r="F516" s="155">
        <v>18.149999999999999</v>
      </c>
      <c r="G516" s="156">
        <v>2</v>
      </c>
      <c r="H516" s="86" t="s">
        <v>68</v>
      </c>
      <c r="I516" s="155">
        <v>14.440000000000001</v>
      </c>
      <c r="J516" s="1538" t="s">
        <v>70</v>
      </c>
      <c r="K516" s="1544"/>
      <c r="L516" s="1539"/>
      <c r="M516" s="1353">
        <v>0.15</v>
      </c>
      <c r="N516" s="1616">
        <v>32.6</v>
      </c>
      <c r="O516" s="135"/>
      <c r="P516" s="134"/>
      <c r="Q516" s="133"/>
      <c r="R516" s="133">
        <f t="shared" ref="R516:R527" si="58">TRUNC(M516*N516,3)</f>
        <v>4.8899999999999997</v>
      </c>
      <c r="S516" s="225" t="s">
        <v>5</v>
      </c>
      <c r="T516" s="1367" t="s">
        <v>90</v>
      </c>
      <c r="U516" s="1620"/>
      <c r="V516" s="1314">
        <f t="shared" si="57"/>
        <v>97.491</v>
      </c>
      <c r="W516" s="938"/>
      <c r="X516" s="938"/>
      <c r="Y516" s="513"/>
      <c r="Z516" s="514"/>
    </row>
    <row r="517" spans="1:28" s="515" customFormat="1" ht="32.1" customHeight="1">
      <c r="A517" s="510"/>
      <c r="B517" s="1372"/>
      <c r="C517" s="1551" t="s">
        <v>1070</v>
      </c>
      <c r="D517" s="156">
        <v>4</v>
      </c>
      <c r="E517" s="86" t="s">
        <v>68</v>
      </c>
      <c r="F517" s="155">
        <v>3.3</v>
      </c>
      <c r="G517" s="156">
        <v>4</v>
      </c>
      <c r="H517" s="86" t="s">
        <v>68</v>
      </c>
      <c r="I517" s="155">
        <v>13.9</v>
      </c>
      <c r="J517" s="1538" t="s">
        <v>70</v>
      </c>
      <c r="K517" s="1544"/>
      <c r="L517" s="1539"/>
      <c r="M517" s="1353">
        <v>0.15</v>
      </c>
      <c r="N517" s="1616">
        <v>37.06</v>
      </c>
      <c r="O517" s="135"/>
      <c r="P517" s="134"/>
      <c r="Q517" s="133"/>
      <c r="R517" s="133">
        <f t="shared" si="58"/>
        <v>5.5590000000000002</v>
      </c>
      <c r="S517" s="225" t="s">
        <v>5</v>
      </c>
      <c r="T517" s="1367" t="s">
        <v>90</v>
      </c>
      <c r="U517" s="1620"/>
      <c r="V517" s="1314">
        <f t="shared" si="57"/>
        <v>97.491</v>
      </c>
      <c r="W517" s="938"/>
      <c r="X517" s="938"/>
      <c r="Y517" s="513"/>
      <c r="Z517" s="514"/>
    </row>
    <row r="518" spans="1:28" s="515" customFormat="1" ht="32.1" customHeight="1">
      <c r="A518" s="510"/>
      <c r="B518" s="1372"/>
      <c r="C518" s="1551" t="s">
        <v>1070</v>
      </c>
      <c r="D518" s="156">
        <v>4</v>
      </c>
      <c r="E518" s="86" t="s">
        <v>68</v>
      </c>
      <c r="F518" s="155">
        <v>8.25</v>
      </c>
      <c r="G518" s="156">
        <v>5</v>
      </c>
      <c r="H518" s="86" t="s">
        <v>68</v>
      </c>
      <c r="I518" s="155">
        <v>2</v>
      </c>
      <c r="J518" s="1538" t="s">
        <v>69</v>
      </c>
      <c r="K518" s="1544"/>
      <c r="L518" s="1539"/>
      <c r="M518" s="1353">
        <v>0.15</v>
      </c>
      <c r="N518" s="1616">
        <v>17.3</v>
      </c>
      <c r="O518" s="135"/>
      <c r="P518" s="134"/>
      <c r="Q518" s="133"/>
      <c r="R518" s="133">
        <f t="shared" si="58"/>
        <v>2.5950000000000002</v>
      </c>
      <c r="S518" s="225" t="s">
        <v>5</v>
      </c>
      <c r="T518" s="1367" t="s">
        <v>90</v>
      </c>
      <c r="U518" s="1620"/>
      <c r="V518" s="1314">
        <f t="shared" si="57"/>
        <v>97.491</v>
      </c>
      <c r="W518" s="938"/>
      <c r="X518" s="938"/>
      <c r="Y518" s="513"/>
      <c r="Z518" s="514"/>
    </row>
    <row r="519" spans="1:28" s="515" customFormat="1" ht="32.1" customHeight="1">
      <c r="A519" s="510"/>
      <c r="B519" s="1372"/>
      <c r="C519" s="1551" t="s">
        <v>1070</v>
      </c>
      <c r="D519" s="156">
        <v>4</v>
      </c>
      <c r="E519" s="86" t="s">
        <v>68</v>
      </c>
      <c r="F519" s="155">
        <v>16.600000000000001</v>
      </c>
      <c r="G519" s="156">
        <v>5</v>
      </c>
      <c r="H519" s="86" t="s">
        <v>68</v>
      </c>
      <c r="I519" s="155">
        <v>13</v>
      </c>
      <c r="J519" s="1538" t="s">
        <v>70</v>
      </c>
      <c r="K519" s="1544"/>
      <c r="L519" s="1539"/>
      <c r="M519" s="1353">
        <v>0.15</v>
      </c>
      <c r="N519" s="1616">
        <v>52.12</v>
      </c>
      <c r="O519" s="135"/>
      <c r="P519" s="134"/>
      <c r="Q519" s="133"/>
      <c r="R519" s="133">
        <f t="shared" si="58"/>
        <v>7.8179999999999996</v>
      </c>
      <c r="S519" s="225" t="s">
        <v>5</v>
      </c>
      <c r="T519" s="1367" t="s">
        <v>90</v>
      </c>
      <c r="U519" s="1620"/>
      <c r="V519" s="1314">
        <f t="shared" si="57"/>
        <v>97.491</v>
      </c>
      <c r="W519" s="938"/>
      <c r="X519" s="938"/>
      <c r="Y519" s="513"/>
      <c r="Z519" s="514"/>
    </row>
    <row r="520" spans="1:28" s="515" customFormat="1" ht="32.1" customHeight="1">
      <c r="A520" s="510"/>
      <c r="B520" s="1372"/>
      <c r="C520" s="1551" t="s">
        <v>1070</v>
      </c>
      <c r="D520" s="156">
        <v>6</v>
      </c>
      <c r="E520" s="86" t="s">
        <v>68</v>
      </c>
      <c r="F520" s="155">
        <v>0</v>
      </c>
      <c r="G520" s="156">
        <v>8</v>
      </c>
      <c r="H520" s="86" t="s">
        <v>68</v>
      </c>
      <c r="I520" s="155">
        <v>10</v>
      </c>
      <c r="J520" s="1538" t="s">
        <v>70</v>
      </c>
      <c r="K520" s="1544"/>
      <c r="L520" s="1539"/>
      <c r="M520" s="1353">
        <v>0.15</v>
      </c>
      <c r="N520" s="1616">
        <v>116.52</v>
      </c>
      <c r="O520" s="135"/>
      <c r="P520" s="134"/>
      <c r="Q520" s="133"/>
      <c r="R520" s="133">
        <f t="shared" si="58"/>
        <v>17.478000000000002</v>
      </c>
      <c r="S520" s="225" t="s">
        <v>5</v>
      </c>
      <c r="T520" s="1367" t="s">
        <v>90</v>
      </c>
      <c r="U520" s="1620"/>
      <c r="V520" s="1314">
        <f t="shared" si="57"/>
        <v>97.491</v>
      </c>
      <c r="W520" s="938"/>
      <c r="X520" s="938"/>
      <c r="Y520" s="513"/>
      <c r="Z520" s="514"/>
    </row>
    <row r="521" spans="1:28" s="515" customFormat="1" ht="32.1" customHeight="1">
      <c r="A521" s="510"/>
      <c r="B521" s="1372"/>
      <c r="C521" s="1551" t="s">
        <v>1070</v>
      </c>
      <c r="D521" s="156">
        <v>8</v>
      </c>
      <c r="E521" s="86" t="s">
        <v>68</v>
      </c>
      <c r="F521" s="155">
        <v>7</v>
      </c>
      <c r="G521" s="156">
        <v>8</v>
      </c>
      <c r="H521" s="86" t="s">
        <v>68</v>
      </c>
      <c r="I521" s="155">
        <v>9.5</v>
      </c>
      <c r="J521" s="1538" t="s">
        <v>69</v>
      </c>
      <c r="K521" s="1544"/>
      <c r="L521" s="1539"/>
      <c r="M521" s="1353">
        <v>0.15</v>
      </c>
      <c r="N521" s="1616">
        <v>3.02</v>
      </c>
      <c r="O521" s="135"/>
      <c r="P521" s="134"/>
      <c r="Q521" s="133"/>
      <c r="R521" s="133">
        <f t="shared" si="58"/>
        <v>0.45300000000000001</v>
      </c>
      <c r="S521" s="225" t="s">
        <v>5</v>
      </c>
      <c r="T521" s="1367" t="s">
        <v>90</v>
      </c>
      <c r="U521" s="1620"/>
      <c r="V521" s="1314">
        <f t="shared" si="57"/>
        <v>97.491</v>
      </c>
      <c r="W521" s="938"/>
      <c r="X521" s="938"/>
      <c r="Y521" s="513"/>
      <c r="Z521" s="514"/>
    </row>
    <row r="522" spans="1:28" s="515" customFormat="1" ht="32.1" customHeight="1">
      <c r="A522" s="510"/>
      <c r="B522" s="1372"/>
      <c r="C522" s="1551" t="s">
        <v>1070</v>
      </c>
      <c r="D522" s="156">
        <v>8</v>
      </c>
      <c r="E522" s="86" t="s">
        <v>68</v>
      </c>
      <c r="F522" s="155">
        <v>17</v>
      </c>
      <c r="G522" s="156">
        <v>8</v>
      </c>
      <c r="H522" s="86" t="s">
        <v>68</v>
      </c>
      <c r="I522" s="155">
        <v>18.399999999999999</v>
      </c>
      <c r="J522" s="1538" t="s">
        <v>69</v>
      </c>
      <c r="K522" s="1544"/>
      <c r="L522" s="1539"/>
      <c r="M522" s="1353">
        <v>0.15</v>
      </c>
      <c r="N522" s="1616">
        <v>1.31</v>
      </c>
      <c r="O522" s="135"/>
      <c r="P522" s="134"/>
      <c r="Q522" s="133"/>
      <c r="R522" s="133">
        <f t="shared" si="58"/>
        <v>0.19600000000000001</v>
      </c>
      <c r="S522" s="225" t="s">
        <v>5</v>
      </c>
      <c r="T522" s="1367" t="s">
        <v>90</v>
      </c>
      <c r="U522" s="1620"/>
      <c r="V522" s="1314">
        <f t="shared" si="57"/>
        <v>97.491</v>
      </c>
      <c r="W522" s="938"/>
      <c r="X522" s="938"/>
      <c r="Y522" s="513"/>
      <c r="Z522" s="514"/>
    </row>
    <row r="523" spans="1:28" s="515" customFormat="1" ht="32.1" customHeight="1">
      <c r="A523" s="510"/>
      <c r="B523" s="1372"/>
      <c r="C523" s="1551" t="s">
        <v>1070</v>
      </c>
      <c r="D523" s="156">
        <v>8</v>
      </c>
      <c r="E523" s="86" t="s">
        <v>68</v>
      </c>
      <c r="F523" s="155">
        <v>17</v>
      </c>
      <c r="G523" s="156">
        <v>9</v>
      </c>
      <c r="H523" s="86" t="s">
        <v>68</v>
      </c>
      <c r="I523" s="155">
        <v>15.3</v>
      </c>
      <c r="J523" s="1538" t="s">
        <v>70</v>
      </c>
      <c r="K523" s="1544"/>
      <c r="L523" s="1539"/>
      <c r="M523" s="1353">
        <v>0.15</v>
      </c>
      <c r="N523" s="1616">
        <v>34.54</v>
      </c>
      <c r="O523" s="135"/>
      <c r="P523" s="134"/>
      <c r="Q523" s="133"/>
      <c r="R523" s="133">
        <f t="shared" si="58"/>
        <v>5.181</v>
      </c>
      <c r="S523" s="225" t="s">
        <v>5</v>
      </c>
      <c r="T523" s="1367" t="s">
        <v>90</v>
      </c>
      <c r="U523" s="1620"/>
      <c r="V523" s="1314">
        <f t="shared" si="57"/>
        <v>97.491</v>
      </c>
      <c r="W523" s="938"/>
      <c r="X523" s="938"/>
      <c r="Y523" s="513"/>
      <c r="Z523" s="514"/>
    </row>
    <row r="524" spans="1:28" s="515" customFormat="1" ht="32.1" customHeight="1">
      <c r="A524" s="510"/>
      <c r="B524" s="1372"/>
      <c r="C524" s="1551" t="s">
        <v>1070</v>
      </c>
      <c r="D524" s="156">
        <v>10</v>
      </c>
      <c r="E524" s="86" t="s">
        <v>68</v>
      </c>
      <c r="F524" s="155">
        <v>5.4</v>
      </c>
      <c r="G524" s="156">
        <v>10</v>
      </c>
      <c r="H524" s="86" t="s">
        <v>68</v>
      </c>
      <c r="I524" s="155">
        <v>12</v>
      </c>
      <c r="J524" s="1538" t="s">
        <v>69</v>
      </c>
      <c r="K524" s="1544"/>
      <c r="L524" s="1539"/>
      <c r="M524" s="1353">
        <v>0.15</v>
      </c>
      <c r="N524" s="1616">
        <v>10.98</v>
      </c>
      <c r="O524" s="135"/>
      <c r="P524" s="134"/>
      <c r="Q524" s="133"/>
      <c r="R524" s="133">
        <f t="shared" si="58"/>
        <v>1.647</v>
      </c>
      <c r="S524" s="225" t="s">
        <v>5</v>
      </c>
      <c r="T524" s="1367" t="s">
        <v>90</v>
      </c>
      <c r="U524" s="1620"/>
      <c r="V524" s="1314">
        <f t="shared" si="57"/>
        <v>97.491</v>
      </c>
      <c r="W524" s="938"/>
      <c r="X524" s="938"/>
      <c r="Y524" s="513"/>
      <c r="Z524" s="514"/>
    </row>
    <row r="525" spans="1:28" s="515" customFormat="1" ht="32.1" customHeight="1">
      <c r="A525" s="510"/>
      <c r="B525" s="1372"/>
      <c r="C525" s="1551" t="s">
        <v>1070</v>
      </c>
      <c r="D525" s="156">
        <v>10</v>
      </c>
      <c r="E525" s="86" t="s">
        <v>68</v>
      </c>
      <c r="F525" s="155">
        <v>18.8</v>
      </c>
      <c r="G525" s="156">
        <v>11</v>
      </c>
      <c r="H525" s="86" t="s">
        <v>68</v>
      </c>
      <c r="I525" s="155">
        <v>4.7</v>
      </c>
      <c r="J525" s="1538" t="s">
        <v>70</v>
      </c>
      <c r="K525" s="1544"/>
      <c r="L525" s="1539"/>
      <c r="M525" s="1353">
        <v>0.15</v>
      </c>
      <c r="N525" s="1616">
        <v>9.4700000000000006</v>
      </c>
      <c r="O525" s="135"/>
      <c r="P525" s="134"/>
      <c r="Q525" s="133"/>
      <c r="R525" s="133">
        <f t="shared" si="58"/>
        <v>1.42</v>
      </c>
      <c r="S525" s="225" t="s">
        <v>5</v>
      </c>
      <c r="T525" s="1367" t="s">
        <v>90</v>
      </c>
      <c r="U525" s="1620"/>
      <c r="V525" s="1314">
        <f t="shared" si="57"/>
        <v>97.491</v>
      </c>
      <c r="W525" s="938"/>
      <c r="X525" s="938"/>
      <c r="Y525" s="513"/>
      <c r="Z525" s="514"/>
    </row>
    <row r="526" spans="1:28" s="515" customFormat="1" ht="32.1" customHeight="1">
      <c r="A526" s="510"/>
      <c r="B526" s="500"/>
      <c r="C526" s="1770" t="s">
        <v>1070</v>
      </c>
      <c r="D526" s="156">
        <v>14</v>
      </c>
      <c r="E526" s="86" t="s">
        <v>68</v>
      </c>
      <c r="F526" s="155">
        <v>8.3000000000000007</v>
      </c>
      <c r="G526" s="156">
        <v>14</v>
      </c>
      <c r="H526" s="86" t="s">
        <v>68</v>
      </c>
      <c r="I526" s="155">
        <v>13</v>
      </c>
      <c r="J526" s="1538" t="s">
        <v>70</v>
      </c>
      <c r="K526" s="1638"/>
      <c r="L526" s="1538"/>
      <c r="M526" s="964">
        <v>0.15</v>
      </c>
      <c r="N526" s="1771">
        <v>40.22</v>
      </c>
      <c r="O526" s="135"/>
      <c r="P526" s="134"/>
      <c r="Q526" s="133"/>
      <c r="R526" s="133">
        <f t="shared" si="58"/>
        <v>6.0330000000000004</v>
      </c>
      <c r="S526" s="225" t="s">
        <v>5</v>
      </c>
      <c r="T526" s="262" t="s">
        <v>90</v>
      </c>
      <c r="U526" s="956"/>
      <c r="V526" s="1314">
        <f t="shared" si="57"/>
        <v>97.491</v>
      </c>
      <c r="W526" s="938"/>
      <c r="X526" s="938"/>
      <c r="Y526" s="513"/>
      <c r="Z526" s="514"/>
    </row>
    <row r="527" spans="1:28" s="515" customFormat="1" ht="15">
      <c r="A527" s="510"/>
      <c r="B527" s="1904"/>
      <c r="C527" s="1905" t="s">
        <v>1070</v>
      </c>
      <c r="D527" s="157">
        <v>14</v>
      </c>
      <c r="E527" s="1690" t="s">
        <v>68</v>
      </c>
      <c r="F527" s="259">
        <v>15</v>
      </c>
      <c r="G527" s="157">
        <v>15</v>
      </c>
      <c r="H527" s="1690" t="s">
        <v>68</v>
      </c>
      <c r="I527" s="259">
        <v>17.3</v>
      </c>
      <c r="J527" s="1906" t="s">
        <v>69</v>
      </c>
      <c r="K527" s="1635"/>
      <c r="L527" s="1907"/>
      <c r="M527" s="1637">
        <v>0.15</v>
      </c>
      <c r="N527" s="1908">
        <v>43.44</v>
      </c>
      <c r="O527" s="1681"/>
      <c r="P527" s="1683"/>
      <c r="Q527" s="1366"/>
      <c r="R527" s="1366">
        <f t="shared" si="58"/>
        <v>6.516</v>
      </c>
      <c r="S527" s="1693" t="s">
        <v>5</v>
      </c>
      <c r="T527" s="1909" t="s">
        <v>90</v>
      </c>
      <c r="U527" s="1910"/>
      <c r="V527" s="1314">
        <f t="shared" si="57"/>
        <v>97.491</v>
      </c>
      <c r="W527" s="938"/>
      <c r="X527" s="938"/>
      <c r="Y527" s="513"/>
      <c r="Z527" s="514"/>
    </row>
    <row r="528" spans="1:28" s="515" customFormat="1" ht="15">
      <c r="A528" s="510"/>
      <c r="B528" s="1372"/>
      <c r="C528" s="1551" t="s">
        <v>1071</v>
      </c>
      <c r="D528" s="156">
        <v>100</v>
      </c>
      <c r="E528" s="86" t="s">
        <v>68</v>
      </c>
      <c r="F528" s="155">
        <v>5.45</v>
      </c>
      <c r="G528" s="156">
        <v>100</v>
      </c>
      <c r="H528" s="86" t="s">
        <v>68</v>
      </c>
      <c r="I528" s="155">
        <v>13.9</v>
      </c>
      <c r="J528" s="1538" t="s">
        <v>70</v>
      </c>
      <c r="K528" s="1544"/>
      <c r="L528" s="1539"/>
      <c r="M528" s="1353">
        <v>0.15</v>
      </c>
      <c r="N528" s="1616">
        <v>15.65</v>
      </c>
      <c r="O528" s="135"/>
      <c r="P528" s="134"/>
      <c r="Q528" s="133"/>
      <c r="R528" s="133">
        <f>TRUNC(M528*N528,3)</f>
        <v>2.347</v>
      </c>
      <c r="S528" s="225" t="s">
        <v>5</v>
      </c>
      <c r="T528" s="1367" t="s">
        <v>90</v>
      </c>
      <c r="U528" s="1620"/>
      <c r="V528" s="1314">
        <f t="shared" si="57"/>
        <v>97.491</v>
      </c>
      <c r="W528" s="938"/>
      <c r="X528" s="938"/>
      <c r="Y528" s="513"/>
      <c r="Z528" s="514"/>
    </row>
    <row r="529" spans="1:36" s="515" customFormat="1" ht="15">
      <c r="A529" s="510"/>
      <c r="B529" s="1372"/>
      <c r="C529" s="1551" t="s">
        <v>1071</v>
      </c>
      <c r="D529" s="156">
        <v>101</v>
      </c>
      <c r="E529" s="86" t="s">
        <v>68</v>
      </c>
      <c r="F529" s="155">
        <v>0</v>
      </c>
      <c r="G529" s="156">
        <v>101</v>
      </c>
      <c r="H529" s="86" t="s">
        <v>68</v>
      </c>
      <c r="I529" s="155">
        <v>13.55</v>
      </c>
      <c r="J529" s="1538" t="s">
        <v>70</v>
      </c>
      <c r="K529" s="1544"/>
      <c r="L529" s="1539"/>
      <c r="M529" s="1353">
        <v>0.15</v>
      </c>
      <c r="N529" s="1616">
        <v>21.97</v>
      </c>
      <c r="O529" s="135"/>
      <c r="P529" s="134"/>
      <c r="Q529" s="133"/>
      <c r="R529" s="133">
        <f t="shared" ref="R529:R533" si="59">TRUNC(M529*N529,3)</f>
        <v>3.2949999999999999</v>
      </c>
      <c r="S529" s="225" t="s">
        <v>5</v>
      </c>
      <c r="T529" s="1367" t="s">
        <v>90</v>
      </c>
      <c r="U529" s="1620"/>
      <c r="V529" s="1314">
        <f t="shared" si="57"/>
        <v>97.491</v>
      </c>
      <c r="W529" s="938"/>
      <c r="X529" s="938"/>
      <c r="Y529" s="513"/>
      <c r="Z529" s="514"/>
    </row>
    <row r="530" spans="1:36" s="515" customFormat="1" ht="15">
      <c r="A530" s="510"/>
      <c r="B530" s="1372"/>
      <c r="C530" s="1551" t="s">
        <v>1071</v>
      </c>
      <c r="D530" s="156">
        <v>104</v>
      </c>
      <c r="E530" s="86" t="s">
        <v>68</v>
      </c>
      <c r="F530" s="155">
        <v>4.8</v>
      </c>
      <c r="G530" s="156">
        <v>105</v>
      </c>
      <c r="H530" s="86" t="s">
        <v>68</v>
      </c>
      <c r="I530" s="155">
        <v>19.399999999999999</v>
      </c>
      <c r="J530" s="1538" t="s">
        <v>70</v>
      </c>
      <c r="K530" s="1544"/>
      <c r="L530" s="1539"/>
      <c r="M530" s="1353">
        <v>0.15</v>
      </c>
      <c r="N530" s="1616">
        <v>71.260000000000005</v>
      </c>
      <c r="O530" s="135"/>
      <c r="P530" s="134"/>
      <c r="Q530" s="133"/>
      <c r="R530" s="133">
        <f t="shared" si="59"/>
        <v>10.689</v>
      </c>
      <c r="S530" s="225" t="s">
        <v>5</v>
      </c>
      <c r="T530" s="1367" t="s">
        <v>90</v>
      </c>
      <c r="U530" s="1620"/>
      <c r="V530" s="1314">
        <f t="shared" si="57"/>
        <v>97.491</v>
      </c>
      <c r="W530" s="938"/>
      <c r="X530" s="938"/>
      <c r="Y530" s="513"/>
      <c r="Z530" s="514"/>
    </row>
    <row r="531" spans="1:36" s="515" customFormat="1" ht="15">
      <c r="A531" s="510"/>
      <c r="B531" s="1372"/>
      <c r="C531" s="1551" t="s">
        <v>1071</v>
      </c>
      <c r="D531" s="156">
        <v>105</v>
      </c>
      <c r="E531" s="86" t="s">
        <v>68</v>
      </c>
      <c r="F531" s="155">
        <v>8.5</v>
      </c>
      <c r="G531" s="156">
        <v>105</v>
      </c>
      <c r="H531" s="86" t="s">
        <v>68</v>
      </c>
      <c r="I531" s="155">
        <v>15.1</v>
      </c>
      <c r="J531" s="1538" t="s">
        <v>69</v>
      </c>
      <c r="K531" s="1544"/>
      <c r="L531" s="1539"/>
      <c r="M531" s="1353">
        <v>0.15</v>
      </c>
      <c r="N531" s="1616">
        <v>17.82</v>
      </c>
      <c r="O531" s="135"/>
      <c r="P531" s="134"/>
      <c r="Q531" s="133"/>
      <c r="R531" s="133">
        <f t="shared" si="59"/>
        <v>2.673</v>
      </c>
      <c r="S531" s="225" t="s">
        <v>5</v>
      </c>
      <c r="T531" s="1367" t="s">
        <v>90</v>
      </c>
      <c r="U531" s="1620"/>
      <c r="V531" s="1314">
        <f t="shared" si="57"/>
        <v>97.491</v>
      </c>
      <c r="W531" s="938"/>
      <c r="X531" s="938"/>
      <c r="Y531" s="513"/>
      <c r="Z531" s="514"/>
    </row>
    <row r="532" spans="1:36" s="515" customFormat="1" ht="15">
      <c r="A532" s="510"/>
      <c r="B532" s="1372"/>
      <c r="C532" s="1551" t="s">
        <v>1071</v>
      </c>
      <c r="D532" s="156">
        <v>106</v>
      </c>
      <c r="E532" s="86" t="s">
        <v>68</v>
      </c>
      <c r="F532" s="155">
        <v>0</v>
      </c>
      <c r="G532" s="156">
        <v>106</v>
      </c>
      <c r="H532" s="86" t="s">
        <v>68</v>
      </c>
      <c r="I532" s="155">
        <v>3.6</v>
      </c>
      <c r="J532" s="1538" t="s">
        <v>70</v>
      </c>
      <c r="K532" s="1544"/>
      <c r="L532" s="1539"/>
      <c r="M532" s="1353">
        <v>0.15</v>
      </c>
      <c r="N532" s="1616">
        <v>10.59</v>
      </c>
      <c r="O532" s="135"/>
      <c r="P532" s="134"/>
      <c r="Q532" s="133"/>
      <c r="R532" s="133">
        <f t="shared" si="59"/>
        <v>1.5880000000000001</v>
      </c>
      <c r="S532" s="225" t="s">
        <v>5</v>
      </c>
      <c r="T532" s="1367" t="s">
        <v>90</v>
      </c>
      <c r="U532" s="1620"/>
      <c r="V532" s="1314">
        <f t="shared" si="57"/>
        <v>97.491</v>
      </c>
      <c r="W532" s="938"/>
      <c r="X532" s="938"/>
      <c r="Y532" s="513"/>
      <c r="Z532" s="514"/>
    </row>
    <row r="533" spans="1:36" s="515" customFormat="1" ht="15">
      <c r="A533" s="510"/>
      <c r="B533" s="1045"/>
      <c r="C533" s="1746" t="s">
        <v>1071</v>
      </c>
      <c r="D533" s="957">
        <v>108</v>
      </c>
      <c r="E533" s="125" t="s">
        <v>68</v>
      </c>
      <c r="F533" s="958">
        <v>0</v>
      </c>
      <c r="G533" s="957">
        <v>109</v>
      </c>
      <c r="H533" s="125" t="s">
        <v>68</v>
      </c>
      <c r="I533" s="958">
        <v>12</v>
      </c>
      <c r="J533" s="1750" t="s">
        <v>69</v>
      </c>
      <c r="K533" s="1764"/>
      <c r="L533" s="1750"/>
      <c r="M533" s="1098">
        <v>0.15</v>
      </c>
      <c r="N533" s="1765">
        <v>70.260000000000005</v>
      </c>
      <c r="O533" s="120"/>
      <c r="P533" s="119"/>
      <c r="Q533" s="118"/>
      <c r="R533" s="118">
        <f t="shared" si="59"/>
        <v>10.539</v>
      </c>
      <c r="S533" s="246" t="s">
        <v>5</v>
      </c>
      <c r="T533" s="960" t="s">
        <v>90</v>
      </c>
      <c r="U533" s="1078"/>
      <c r="V533" s="1314">
        <f t="shared" si="57"/>
        <v>97.491</v>
      </c>
      <c r="W533" s="938"/>
      <c r="X533" s="938"/>
      <c r="Y533" s="513"/>
      <c r="Z533" s="514"/>
    </row>
    <row r="534" spans="1:36" s="8" customFormat="1" ht="15.75">
      <c r="A534" s="516"/>
      <c r="B534" s="877"/>
      <c r="C534" s="113"/>
      <c r="D534" s="2459" t="s">
        <v>18</v>
      </c>
      <c r="E534" s="2460"/>
      <c r="F534" s="2460"/>
      <c r="G534" s="2460"/>
      <c r="H534" s="2460"/>
      <c r="I534" s="2461"/>
      <c r="J534" s="2462">
        <f>VLOOKUP(A536,'12 - FINANCEIRA'!_xlnm.Print_Area,6,FALSE)</f>
        <v>214</v>
      </c>
      <c r="K534" s="2463"/>
      <c r="L534" s="1744" t="str">
        <f>VLOOKUP(A536,'12 - FINANCEIRA'!_xlnm.Print_Area,4,FALSE)</f>
        <v>m³</v>
      </c>
      <c r="M534" s="2464" t="s">
        <v>19</v>
      </c>
      <c r="N534" s="2465"/>
      <c r="O534" s="2465"/>
      <c r="P534" s="2465"/>
      <c r="Q534" s="2466"/>
      <c r="R534" s="1154">
        <f>SUM(R512:R533)</f>
        <v>130.035</v>
      </c>
      <c r="S534" s="1745" t="str">
        <f>L534</f>
        <v>m³</v>
      </c>
      <c r="T534" s="680"/>
      <c r="U534" s="663"/>
      <c r="V534" s="1314">
        <f t="shared" si="57"/>
        <v>97.491</v>
      </c>
      <c r="AB534" s="15"/>
    </row>
    <row r="535" spans="1:36" s="8" customFormat="1" ht="15.75">
      <c r="A535" s="516"/>
      <c r="B535" s="877"/>
      <c r="C535" s="681"/>
      <c r="D535" s="2444" t="s">
        <v>20</v>
      </c>
      <c r="E535" s="2445"/>
      <c r="F535" s="2445"/>
      <c r="G535" s="2445"/>
      <c r="H535" s="2445"/>
      <c r="I535" s="2446"/>
      <c r="J535" s="2450">
        <f>R534/J534</f>
        <v>0.60764018691588784</v>
      </c>
      <c r="K535" s="2451"/>
      <c r="L535" s="2454"/>
      <c r="M535" s="2441" t="s">
        <v>21</v>
      </c>
      <c r="N535" s="2442"/>
      <c r="O535" s="2442"/>
      <c r="P535" s="2442"/>
      <c r="Q535" s="2443"/>
      <c r="R535" s="878">
        <f>VLOOKUP(A536,'12 - FINANCEIRA'!_xlnm.Print_Area,8,FALSE)</f>
        <v>32.543999999999997</v>
      </c>
      <c r="S535" s="879" t="str">
        <f>L534</f>
        <v>m³</v>
      </c>
      <c r="T535" s="680"/>
      <c r="U535" s="663"/>
      <c r="V535" s="1314">
        <f t="shared" si="57"/>
        <v>97.491</v>
      </c>
      <c r="AB535" s="15"/>
    </row>
    <row r="536" spans="1:36" s="8" customFormat="1" ht="15.75">
      <c r="A536" s="516" t="s">
        <v>501</v>
      </c>
      <c r="B536" s="1868"/>
      <c r="C536" s="1869"/>
      <c r="D536" s="2459"/>
      <c r="E536" s="2467"/>
      <c r="F536" s="2467"/>
      <c r="G536" s="2467"/>
      <c r="H536" s="2467"/>
      <c r="I536" s="2461"/>
      <c r="J536" s="2468"/>
      <c r="K536" s="2469"/>
      <c r="L536" s="2470"/>
      <c r="M536" s="2441" t="s">
        <v>22</v>
      </c>
      <c r="N536" s="2442"/>
      <c r="O536" s="2442"/>
      <c r="P536" s="2442"/>
      <c r="Q536" s="2443"/>
      <c r="R536" s="878">
        <f>R534-R535</f>
        <v>97.491</v>
      </c>
      <c r="S536" s="879" t="str">
        <f>L534</f>
        <v>m³</v>
      </c>
      <c r="T536" s="1870"/>
      <c r="U536" s="1871"/>
      <c r="V536" s="1314">
        <f>R536</f>
        <v>97.491</v>
      </c>
      <c r="AB536" s="15"/>
    </row>
    <row r="537" spans="1:36" s="8" customFormat="1" ht="15.75" hidden="1">
      <c r="A537" s="516"/>
      <c r="B537" s="523"/>
      <c r="C537" s="524"/>
      <c r="D537" s="526"/>
      <c r="E537" s="526"/>
      <c r="F537" s="526"/>
      <c r="G537" s="525"/>
      <c r="H537" s="525"/>
      <c r="I537" s="525"/>
      <c r="J537" s="527"/>
      <c r="K537" s="528"/>
      <c r="L537" s="529"/>
      <c r="M537" s="530"/>
      <c r="N537" s="530"/>
      <c r="O537" s="530"/>
      <c r="P537" s="530"/>
      <c r="Q537" s="530"/>
      <c r="R537" s="531"/>
      <c r="S537" s="532"/>
      <c r="T537" s="533"/>
      <c r="U537" s="534"/>
      <c r="V537" s="1658">
        <f>SUM(V510:V536)</f>
        <v>2632.2570000000001</v>
      </c>
      <c r="AB537" s="15"/>
    </row>
    <row r="538" spans="1:36" s="497" customFormat="1" ht="15.75" hidden="1">
      <c r="A538" s="495"/>
      <c r="B538" s="2423" t="str">
        <f>VLOOKUP(A546,'12 - FINANCEIRA'!_xlnm.Print_Area,1,FALSE)</f>
        <v>2.5.7</v>
      </c>
      <c r="C538" s="2421" t="str">
        <f>VLOOKUP(A546,'12 - FINANCEIRA'!_xlnm.Print_Area,3,FALSE)</f>
        <v>Barra chata em qualquer dimensão</v>
      </c>
      <c r="D538" s="2479" t="s">
        <v>97</v>
      </c>
      <c r="E538" s="2480"/>
      <c r="F538" s="2480"/>
      <c r="G538" s="2480"/>
      <c r="H538" s="2480"/>
      <c r="I538" s="2481"/>
      <c r="J538" s="2416" t="s">
        <v>98</v>
      </c>
      <c r="K538" s="2416" t="s">
        <v>102</v>
      </c>
      <c r="L538" s="2416" t="s">
        <v>103</v>
      </c>
      <c r="M538" s="2416" t="s">
        <v>228</v>
      </c>
      <c r="N538" s="2416" t="s">
        <v>229</v>
      </c>
      <c r="O538" s="2416" t="s">
        <v>107</v>
      </c>
      <c r="P538" s="496" t="s">
        <v>153</v>
      </c>
      <c r="Q538" s="2416" t="s">
        <v>16</v>
      </c>
      <c r="R538" s="2425" t="s">
        <v>2</v>
      </c>
      <c r="S538" s="2416" t="s">
        <v>99</v>
      </c>
      <c r="T538" s="2416" t="s">
        <v>17</v>
      </c>
      <c r="U538" s="2428" t="s">
        <v>362</v>
      </c>
      <c r="V538" s="870">
        <f t="shared" ref="V538:V545" si="60">V539</f>
        <v>0</v>
      </c>
      <c r="W538" s="26"/>
      <c r="X538" s="26"/>
      <c r="Y538" s="26"/>
      <c r="Z538" s="27"/>
      <c r="AA538" s="9"/>
      <c r="AB538" s="9"/>
      <c r="AC538" s="9"/>
      <c r="AD538" s="9"/>
      <c r="AE538" s="9"/>
      <c r="AF538" s="9"/>
      <c r="AG538" s="9"/>
      <c r="AH538" s="9"/>
      <c r="AI538" s="9"/>
      <c r="AJ538" s="9"/>
    </row>
    <row r="539" spans="1:36" s="497" customFormat="1" ht="15.75" hidden="1">
      <c r="A539" s="495"/>
      <c r="B539" s="2471" t="e">
        <f>LEFT(#REF!,5)</f>
        <v>#REF!</v>
      </c>
      <c r="C539" s="2472" t="e">
        <f>VLOOKUP(LEFT(#REF!,5),'12 - FINANCEIRA'!_xlnm.Print_Area,2,FALSE)</f>
        <v>#REF!</v>
      </c>
      <c r="D539" s="2430" t="s">
        <v>14</v>
      </c>
      <c r="E539" s="2431"/>
      <c r="F539" s="2432"/>
      <c r="G539" s="2433" t="s">
        <v>15</v>
      </c>
      <c r="H539" s="2434"/>
      <c r="I539" s="2435"/>
      <c r="J539" s="2427"/>
      <c r="K539" s="2427"/>
      <c r="L539" s="2427"/>
      <c r="M539" s="2427"/>
      <c r="N539" s="2427"/>
      <c r="O539" s="2427"/>
      <c r="P539" s="498" t="s">
        <v>104</v>
      </c>
      <c r="Q539" s="2427"/>
      <c r="R539" s="2426"/>
      <c r="S539" s="2427"/>
      <c r="T539" s="2427"/>
      <c r="U539" s="2429"/>
      <c r="V539" s="870">
        <f t="shared" si="60"/>
        <v>0</v>
      </c>
      <c r="W539" s="26"/>
      <c r="X539" s="26"/>
      <c r="Y539" s="26"/>
      <c r="Z539" s="27"/>
      <c r="AA539" s="9"/>
      <c r="AB539" s="9"/>
      <c r="AC539" s="9"/>
      <c r="AD539" s="9"/>
      <c r="AE539" s="9"/>
      <c r="AF539" s="9"/>
      <c r="AG539" s="9"/>
      <c r="AH539" s="9"/>
      <c r="AI539" s="9"/>
      <c r="AJ539" s="9"/>
    </row>
    <row r="540" spans="1:36" s="515" customFormat="1" ht="15" hidden="1">
      <c r="A540" s="510"/>
      <c r="B540" s="968"/>
      <c r="C540" s="76"/>
      <c r="D540" s="962"/>
      <c r="E540" s="963"/>
      <c r="F540" s="964"/>
      <c r="G540" s="965"/>
      <c r="H540" s="963"/>
      <c r="I540" s="966"/>
      <c r="J540" s="77"/>
      <c r="K540" s="215"/>
      <c r="L540" s="215"/>
      <c r="M540" s="969"/>
      <c r="N540" s="970"/>
      <c r="O540" s="224"/>
      <c r="P540" s="215"/>
      <c r="Q540" s="971"/>
      <c r="R540" s="1108"/>
      <c r="S540" s="1109"/>
      <c r="T540" s="972"/>
      <c r="U540" s="956"/>
      <c r="V540" s="1156">
        <f t="shared" si="60"/>
        <v>0</v>
      </c>
      <c r="W540" s="513"/>
      <c r="X540" s="513"/>
      <c r="Y540" s="513"/>
      <c r="Z540" s="514"/>
      <c r="AA540" s="513"/>
      <c r="AB540" s="961"/>
    </row>
    <row r="541" spans="1:36" s="515" customFormat="1" ht="15" hidden="1">
      <c r="A541" s="510"/>
      <c r="B541" s="968"/>
      <c r="C541" s="30"/>
      <c r="D541" s="31"/>
      <c r="E541" s="32"/>
      <c r="F541" s="33"/>
      <c r="G541" s="894"/>
      <c r="H541" s="32"/>
      <c r="I541" s="895"/>
      <c r="J541" s="34"/>
      <c r="K541" s="84"/>
      <c r="L541" s="35"/>
      <c r="M541" s="36"/>
      <c r="N541" s="889"/>
      <c r="O541" s="81"/>
      <c r="P541" s="35"/>
      <c r="Q541" s="882"/>
      <c r="R541" s="883"/>
      <c r="S541" s="1035"/>
      <c r="T541" s="857"/>
      <c r="U541" s="78"/>
      <c r="V541" s="1156">
        <f t="shared" si="60"/>
        <v>0</v>
      </c>
      <c r="W541" s="938"/>
      <c r="X541" s="938"/>
      <c r="Y541" s="513"/>
      <c r="Z541" s="514"/>
      <c r="AA541" s="513"/>
      <c r="AB541" s="961"/>
    </row>
    <row r="542" spans="1:36" s="515" customFormat="1" ht="15" hidden="1">
      <c r="A542" s="510"/>
      <c r="B542" s="968"/>
      <c r="C542" s="30"/>
      <c r="D542" s="31"/>
      <c r="E542" s="32"/>
      <c r="F542" s="33"/>
      <c r="G542" s="894"/>
      <c r="H542" s="32"/>
      <c r="I542" s="895"/>
      <c r="J542" s="34"/>
      <c r="K542" s="84"/>
      <c r="L542" s="35"/>
      <c r="M542" s="36"/>
      <c r="N542" s="81"/>
      <c r="O542" s="81"/>
      <c r="P542" s="35"/>
      <c r="Q542" s="37"/>
      <c r="R542" s="1036"/>
      <c r="S542" s="884"/>
      <c r="T542" s="857"/>
      <c r="U542" s="78"/>
      <c r="V542" s="1156">
        <f t="shared" si="60"/>
        <v>0</v>
      </c>
      <c r="W542" s="938"/>
      <c r="X542" s="938"/>
      <c r="Y542" s="513"/>
      <c r="Z542" s="514"/>
    </row>
    <row r="543" spans="1:36" s="515" customFormat="1" ht="15" hidden="1">
      <c r="A543" s="510"/>
      <c r="B543" s="975"/>
      <c r="C543" s="967"/>
      <c r="D543" s="962"/>
      <c r="E543" s="963"/>
      <c r="F543" s="964"/>
      <c r="G543" s="965"/>
      <c r="H543" s="963"/>
      <c r="I543" s="966"/>
      <c r="J543" s="77"/>
      <c r="K543" s="973"/>
      <c r="L543" s="215"/>
      <c r="M543" s="969"/>
      <c r="N543" s="224"/>
      <c r="O543" s="224"/>
      <c r="P543" s="215"/>
      <c r="Q543" s="974"/>
      <c r="R543" s="985"/>
      <c r="S543" s="976"/>
      <c r="T543" s="1027"/>
      <c r="U543" s="977"/>
      <c r="V543" s="1156">
        <f t="shared" si="60"/>
        <v>0</v>
      </c>
      <c r="W543" s="8"/>
      <c r="X543" s="8"/>
      <c r="AB543" s="961"/>
    </row>
    <row r="544" spans="1:36" s="8" customFormat="1" ht="15.75" hidden="1">
      <c r="A544" s="516"/>
      <c r="B544" s="877"/>
      <c r="C544" s="113"/>
      <c r="D544" s="2436" t="s">
        <v>18</v>
      </c>
      <c r="E544" s="2437"/>
      <c r="F544" s="2437"/>
      <c r="G544" s="2437"/>
      <c r="H544" s="2437"/>
      <c r="I544" s="2438"/>
      <c r="J544" s="2439">
        <f>VLOOKUP(A546,'12 - FINANCEIRA'!_xlnm.Print_Area,6,FALSE)</f>
        <v>6281</v>
      </c>
      <c r="K544" s="2440"/>
      <c r="L544" s="519" t="str">
        <f>VLOOKUP(A546,'12 - FINANCEIRA'!_xlnm.Print_Area,4,FALSE)</f>
        <v>kg</v>
      </c>
      <c r="M544" s="2441" t="s">
        <v>19</v>
      </c>
      <c r="N544" s="2442"/>
      <c r="O544" s="2442"/>
      <c r="P544" s="2442"/>
      <c r="Q544" s="2443"/>
      <c r="R544" s="878">
        <f>SUM(R540:R543)</f>
        <v>0</v>
      </c>
      <c r="S544" s="520" t="str">
        <f>L544</f>
        <v>kg</v>
      </c>
      <c r="T544" s="680"/>
      <c r="U544" s="663"/>
      <c r="V544" s="870">
        <f t="shared" si="60"/>
        <v>0</v>
      </c>
      <c r="AB544" s="15"/>
    </row>
    <row r="545" spans="1:36" s="8" customFormat="1" ht="15.75" hidden="1">
      <c r="A545" s="516"/>
      <c r="B545" s="877"/>
      <c r="C545" s="681"/>
      <c r="D545" s="2444" t="s">
        <v>20</v>
      </c>
      <c r="E545" s="2445"/>
      <c r="F545" s="2445"/>
      <c r="G545" s="2445"/>
      <c r="H545" s="2445"/>
      <c r="I545" s="2446"/>
      <c r="J545" s="2450">
        <f>R544/J544</f>
        <v>0</v>
      </c>
      <c r="K545" s="2451"/>
      <c r="L545" s="2454"/>
      <c r="M545" s="2441" t="s">
        <v>21</v>
      </c>
      <c r="N545" s="2442"/>
      <c r="O545" s="2442"/>
      <c r="P545" s="2442"/>
      <c r="Q545" s="2443"/>
      <c r="R545" s="878">
        <f>VLOOKUP(A546,'12 - FINANCEIRA'!_xlnm.Print_Area,8,FALSE)</f>
        <v>0</v>
      </c>
      <c r="S545" s="879" t="str">
        <f>L544</f>
        <v>kg</v>
      </c>
      <c r="T545" s="680"/>
      <c r="U545" s="663"/>
      <c r="V545" s="870">
        <f t="shared" si="60"/>
        <v>0</v>
      </c>
      <c r="AB545" s="15"/>
    </row>
    <row r="546" spans="1:36" s="8" customFormat="1" ht="15.75" hidden="1">
      <c r="A546" s="516" t="s">
        <v>502</v>
      </c>
      <c r="B546" s="877"/>
      <c r="C546" s="113"/>
      <c r="D546" s="2447"/>
      <c r="E546" s="2448"/>
      <c r="F546" s="2448"/>
      <c r="G546" s="2448"/>
      <c r="H546" s="2448"/>
      <c r="I546" s="2449"/>
      <c r="J546" s="2452"/>
      <c r="K546" s="2453"/>
      <c r="L546" s="2455"/>
      <c r="M546" s="2456" t="s">
        <v>22</v>
      </c>
      <c r="N546" s="2457"/>
      <c r="O546" s="2457"/>
      <c r="P546" s="2457"/>
      <c r="Q546" s="2458"/>
      <c r="R546" s="521">
        <f>R544-R545</f>
        <v>0</v>
      </c>
      <c r="S546" s="522" t="str">
        <f>L544</f>
        <v>kg</v>
      </c>
      <c r="T546" s="680"/>
      <c r="U546" s="663"/>
      <c r="V546" s="870">
        <f>R546</f>
        <v>0</v>
      </c>
      <c r="AB546" s="15"/>
    </row>
    <row r="547" spans="1:36" s="8" customFormat="1" ht="15.75" hidden="1">
      <c r="A547" s="516"/>
      <c r="B547" s="523"/>
      <c r="C547" s="524"/>
      <c r="D547" s="526"/>
      <c r="E547" s="526"/>
      <c r="F547" s="526"/>
      <c r="G547" s="525"/>
      <c r="H547" s="525"/>
      <c r="I547" s="525"/>
      <c r="J547" s="527"/>
      <c r="K547" s="528"/>
      <c r="L547" s="529"/>
      <c r="M547" s="530"/>
      <c r="N547" s="530"/>
      <c r="O547" s="530"/>
      <c r="P547" s="530"/>
      <c r="Q547" s="530"/>
      <c r="R547" s="531"/>
      <c r="S547" s="532"/>
      <c r="T547" s="533"/>
      <c r="U547" s="534"/>
      <c r="V547" s="871">
        <f>SUM(V538:V546)</f>
        <v>0</v>
      </c>
      <c r="AB547" s="15"/>
    </row>
    <row r="548" spans="1:36" s="497" customFormat="1" ht="15.75" hidden="1" customHeight="1">
      <c r="A548" s="495"/>
      <c r="B548" s="2423" t="str">
        <f>VLOOKUP(A557,'12 - FINANCEIRA'!_xlnm.Print_Area,1,FALSE)</f>
        <v>2.5.8</v>
      </c>
      <c r="C548" s="2421" t="str">
        <f>VLOOKUP(A557,'12 - FINANCEIRA'!_xlnm.Print_Area,3,FALSE)</f>
        <v>Armação em aço CA-60 - fornecimento, preparo e colocação</v>
      </c>
      <c r="D548" s="2479" t="s">
        <v>97</v>
      </c>
      <c r="E548" s="2480"/>
      <c r="F548" s="2480"/>
      <c r="G548" s="2480"/>
      <c r="H548" s="2480"/>
      <c r="I548" s="2481"/>
      <c r="J548" s="2416" t="s">
        <v>98</v>
      </c>
      <c r="K548" s="2416" t="s">
        <v>102</v>
      </c>
      <c r="L548" s="2416" t="s">
        <v>103</v>
      </c>
      <c r="M548" s="2416" t="s">
        <v>228</v>
      </c>
      <c r="N548" s="2416" t="s">
        <v>229</v>
      </c>
      <c r="O548" s="2416" t="s">
        <v>107</v>
      </c>
      <c r="P548" s="496" t="s">
        <v>526</v>
      </c>
      <c r="Q548" s="2425" t="s">
        <v>2</v>
      </c>
      <c r="R548" s="2425" t="s">
        <v>2</v>
      </c>
      <c r="S548" s="2416" t="s">
        <v>99</v>
      </c>
      <c r="T548" s="2416" t="s">
        <v>17</v>
      </c>
      <c r="U548" s="2428" t="s">
        <v>362</v>
      </c>
      <c r="V548" s="1314">
        <f t="shared" ref="V548:V556" si="61">V549</f>
        <v>0</v>
      </c>
      <c r="W548" s="26"/>
      <c r="X548" s="26"/>
      <c r="Y548" s="26"/>
      <c r="Z548" s="27"/>
      <c r="AA548" s="9"/>
      <c r="AB548" s="9"/>
      <c r="AC548" s="9"/>
      <c r="AD548" s="9"/>
      <c r="AE548" s="9"/>
      <c r="AF548" s="9"/>
      <c r="AG548" s="9"/>
      <c r="AH548" s="9"/>
      <c r="AI548" s="9"/>
      <c r="AJ548" s="9"/>
    </row>
    <row r="549" spans="1:36" s="497" customFormat="1" ht="15.75" hidden="1">
      <c r="A549" s="495"/>
      <c r="B549" s="2424" t="e">
        <f>LEFT(#REF!,5)</f>
        <v>#REF!</v>
      </c>
      <c r="C549" s="2422" t="e">
        <f>VLOOKUP(LEFT(#REF!,5),'12 - FINANCEIRA'!_xlnm.Print_Area,2,FALSE)</f>
        <v>#REF!</v>
      </c>
      <c r="D549" s="2430" t="s">
        <v>14</v>
      </c>
      <c r="E549" s="2431"/>
      <c r="F549" s="2432"/>
      <c r="G549" s="2433" t="s">
        <v>15</v>
      </c>
      <c r="H549" s="2434"/>
      <c r="I549" s="2435"/>
      <c r="J549" s="2417"/>
      <c r="K549" s="2417"/>
      <c r="L549" s="2417"/>
      <c r="M549" s="2417"/>
      <c r="N549" s="2417"/>
      <c r="O549" s="2417"/>
      <c r="P549" s="498" t="s">
        <v>939</v>
      </c>
      <c r="Q549" s="2473"/>
      <c r="R549" s="2473"/>
      <c r="S549" s="2417"/>
      <c r="T549" s="2417"/>
      <c r="U549" s="2474"/>
      <c r="V549" s="1314">
        <f t="shared" si="61"/>
        <v>0</v>
      </c>
      <c r="W549" s="26"/>
      <c r="X549" s="26"/>
      <c r="Y549" s="26"/>
      <c r="Z549" s="27"/>
      <c r="AA549" s="9"/>
      <c r="AB549" s="9"/>
      <c r="AC549" s="9"/>
      <c r="AD549" s="9"/>
      <c r="AE549" s="9"/>
      <c r="AF549" s="9"/>
      <c r="AG549" s="9"/>
      <c r="AH549" s="9"/>
      <c r="AI549" s="9"/>
      <c r="AJ549" s="9"/>
    </row>
    <row r="550" spans="1:36" s="724" customFormat="1" ht="15" hidden="1">
      <c r="A550" s="717"/>
      <c r="B550" s="718"/>
      <c r="C550" s="844" t="s">
        <v>516</v>
      </c>
      <c r="D550" s="1448"/>
      <c r="E550" s="1449"/>
      <c r="F550" s="1450"/>
      <c r="G550" s="1448"/>
      <c r="H550" s="1449"/>
      <c r="I550" s="1450"/>
      <c r="J550" s="1439" t="s">
        <v>105</v>
      </c>
      <c r="K550" s="1451">
        <f>2.32*2</f>
        <v>4.6399999999999997</v>
      </c>
      <c r="L550" s="1452"/>
      <c r="M550" s="851"/>
      <c r="N550" s="1453">
        <f>Q550*K550</f>
        <v>41.76</v>
      </c>
      <c r="O550" s="1454"/>
      <c r="P550" s="1454">
        <v>3.11</v>
      </c>
      <c r="Q550" s="35">
        <v>9</v>
      </c>
      <c r="R550" s="1427">
        <f>TRUNC(P550*N550,3)</f>
        <v>129.87299999999999</v>
      </c>
      <c r="S550" s="35" t="s">
        <v>420</v>
      </c>
      <c r="T550" s="1291" t="s">
        <v>86</v>
      </c>
      <c r="U550" s="1432" t="s">
        <v>911</v>
      </c>
      <c r="V550" s="1314">
        <f t="shared" si="61"/>
        <v>0</v>
      </c>
      <c r="W550" s="26"/>
      <c r="X550" s="26"/>
      <c r="Y550" s="720"/>
      <c r="Z550" s="721"/>
      <c r="AA550" s="722"/>
      <c r="AB550" s="723"/>
    </row>
    <row r="551" spans="1:36" s="9" customFormat="1" ht="15" hidden="1">
      <c r="A551" s="944"/>
      <c r="B551" s="922"/>
      <c r="C551" s="844" t="s">
        <v>516</v>
      </c>
      <c r="D551" s="82"/>
      <c r="E551" s="44"/>
      <c r="F551" s="83"/>
      <c r="G551" s="82"/>
      <c r="H551" s="44"/>
      <c r="I551" s="83"/>
      <c r="J551" s="1439" t="s">
        <v>105</v>
      </c>
      <c r="K551" s="1451">
        <f>2.32*2</f>
        <v>4.6399999999999997</v>
      </c>
      <c r="L551" s="1452"/>
      <c r="M551" s="851"/>
      <c r="N551" s="1453">
        <f>Q551*K551</f>
        <v>41.76</v>
      </c>
      <c r="O551" s="1454"/>
      <c r="P551" s="1454">
        <v>3.11</v>
      </c>
      <c r="Q551" s="35">
        <v>9</v>
      </c>
      <c r="R551" s="1478">
        <v>-129.87299999999999</v>
      </c>
      <c r="S551" s="35" t="s">
        <v>420</v>
      </c>
      <c r="T551" s="90" t="s">
        <v>86</v>
      </c>
      <c r="U551" s="39" t="s">
        <v>910</v>
      </c>
      <c r="V551" s="1314">
        <f t="shared" si="61"/>
        <v>0</v>
      </c>
      <c r="W551" s="26"/>
      <c r="X551" s="26"/>
      <c r="Y551" s="26"/>
      <c r="Z551" s="27"/>
      <c r="AA551" s="41"/>
      <c r="AB551" s="42"/>
    </row>
    <row r="552" spans="1:36" s="515" customFormat="1" ht="15" hidden="1">
      <c r="A552" s="510"/>
      <c r="B552" s="500"/>
      <c r="C552" s="844" t="s">
        <v>516</v>
      </c>
      <c r="D552" s="82">
        <v>106</v>
      </c>
      <c r="E552" s="44" t="s">
        <v>68</v>
      </c>
      <c r="F552" s="83">
        <v>7</v>
      </c>
      <c r="G552" s="82">
        <v>112</v>
      </c>
      <c r="H552" s="44" t="s">
        <v>68</v>
      </c>
      <c r="I552" s="83">
        <v>0</v>
      </c>
      <c r="J552" s="1439" t="s">
        <v>105</v>
      </c>
      <c r="K552" s="1438">
        <f>20*(G552-D552)+I552-F552</f>
        <v>113</v>
      </c>
      <c r="L552" s="1456">
        <f>3.74+0.12+0.8</f>
        <v>4.66</v>
      </c>
      <c r="M552" s="1621">
        <f>5.8*2.22</f>
        <v>12.876000000000001</v>
      </c>
      <c r="N552" s="1486">
        <f>K552*L552</f>
        <v>526.58000000000004</v>
      </c>
      <c r="O552" s="1486">
        <f>N552/M552</f>
        <v>40.896241068654859</v>
      </c>
      <c r="P552" s="1456">
        <v>45.72</v>
      </c>
      <c r="Q552" s="35">
        <v>1</v>
      </c>
      <c r="R552" s="1622">
        <f>TRUNC(O552*P552,3)</f>
        <v>1869.7760000000001</v>
      </c>
      <c r="S552" s="35" t="s">
        <v>420</v>
      </c>
      <c r="T552" s="90" t="s">
        <v>88</v>
      </c>
      <c r="U552" s="78" t="s">
        <v>938</v>
      </c>
      <c r="V552" s="1314">
        <f>V554</f>
        <v>0</v>
      </c>
      <c r="W552" s="938"/>
      <c r="X552" s="938"/>
      <c r="Y552" s="513"/>
      <c r="Z552" s="514"/>
    </row>
    <row r="553" spans="1:36" s="515" customFormat="1" ht="15" hidden="1">
      <c r="A553" s="510"/>
      <c r="B553" s="1372"/>
      <c r="C553" s="1350"/>
      <c r="D553" s="156"/>
      <c r="E553" s="86"/>
      <c r="F553" s="155"/>
      <c r="G553" s="156"/>
      <c r="H553" s="86"/>
      <c r="I553" s="155"/>
      <c r="J553" s="1538"/>
      <c r="K553" s="1544"/>
      <c r="L553" s="1540"/>
      <c r="M553" s="1541"/>
      <c r="N553" s="1542"/>
      <c r="O553" s="1542"/>
      <c r="P553" s="1540"/>
      <c r="Q553" s="215"/>
      <c r="R553" s="1543"/>
      <c r="S553" s="969"/>
      <c r="T553" s="1367"/>
      <c r="U553" s="1620"/>
      <c r="V553" s="1314">
        <f t="shared" si="61"/>
        <v>0</v>
      </c>
      <c r="W553" s="938"/>
      <c r="X553" s="938"/>
      <c r="Y553" s="513"/>
      <c r="Z553" s="514"/>
    </row>
    <row r="554" spans="1:36" s="8" customFormat="1" ht="15" hidden="1">
      <c r="A554" s="516"/>
      <c r="B554" s="59"/>
      <c r="C554" s="60"/>
      <c r="D554" s="82"/>
      <c r="E554" s="44"/>
      <c r="F554" s="83"/>
      <c r="G554" s="43"/>
      <c r="H554" s="44"/>
      <c r="I554" s="45"/>
      <c r="J554" s="46"/>
      <c r="K554" s="47"/>
      <c r="L554" s="48"/>
      <c r="M554" s="49"/>
      <c r="N554" s="50"/>
      <c r="O554" s="50"/>
      <c r="P554" s="48"/>
      <c r="Q554" s="53"/>
      <c r="R554" s="517"/>
      <c r="S554" s="54"/>
      <c r="T554" s="518"/>
      <c r="U554" s="71"/>
      <c r="V554" s="1314">
        <f t="shared" si="61"/>
        <v>0</v>
      </c>
      <c r="AB554" s="15"/>
    </row>
    <row r="555" spans="1:36" s="8" customFormat="1" ht="15.75" hidden="1" customHeight="1">
      <c r="A555" s="516"/>
      <c r="B555" s="877"/>
      <c r="C555" s="113"/>
      <c r="D555" s="2436" t="s">
        <v>18</v>
      </c>
      <c r="E555" s="2437"/>
      <c r="F555" s="2437"/>
      <c r="G555" s="2437"/>
      <c r="H555" s="2437"/>
      <c r="I555" s="2438"/>
      <c r="J555" s="2439">
        <f>VLOOKUP(A557,'12 - FINANCEIRA'!_xlnm.Print_Area,6,FALSE)</f>
        <v>7280</v>
      </c>
      <c r="K555" s="2440"/>
      <c r="L555" s="519" t="str">
        <f>VLOOKUP(A557,'12 - FINANCEIRA'!_xlnm.Print_Area,4,FALSE)</f>
        <v>kg</v>
      </c>
      <c r="M555" s="2441" t="s">
        <v>19</v>
      </c>
      <c r="N555" s="2442"/>
      <c r="O555" s="2442"/>
      <c r="P555" s="2442"/>
      <c r="Q555" s="2443"/>
      <c r="R555" s="878">
        <f>SUM(R550:R554)</f>
        <v>1869.7760000000001</v>
      </c>
      <c r="S555" s="520" t="str">
        <f>L555</f>
        <v>kg</v>
      </c>
      <c r="T555" s="680"/>
      <c r="U555" s="663"/>
      <c r="V555" s="1314">
        <f t="shared" si="61"/>
        <v>0</v>
      </c>
      <c r="AB555" s="15"/>
    </row>
    <row r="556" spans="1:36" s="8" customFormat="1" ht="15.75" hidden="1" customHeight="1">
      <c r="A556" s="516"/>
      <c r="B556" s="877"/>
      <c r="C556" s="681"/>
      <c r="D556" s="2444" t="s">
        <v>20</v>
      </c>
      <c r="E556" s="2445"/>
      <c r="F556" s="2445"/>
      <c r="G556" s="2445"/>
      <c r="H556" s="2445"/>
      <c r="I556" s="2446"/>
      <c r="J556" s="2450">
        <f>R555/J555</f>
        <v>0.25683736263736262</v>
      </c>
      <c r="K556" s="2451"/>
      <c r="L556" s="2454"/>
      <c r="M556" s="2441" t="s">
        <v>21</v>
      </c>
      <c r="N556" s="2442"/>
      <c r="O556" s="2442"/>
      <c r="P556" s="2442"/>
      <c r="Q556" s="2443"/>
      <c r="R556" s="878">
        <f>VLOOKUP(A557,'12 - FINANCEIRA'!_xlnm.Print_Area,8,FALSE)</f>
        <v>1869.7760000000001</v>
      </c>
      <c r="S556" s="879" t="str">
        <f>L555</f>
        <v>kg</v>
      </c>
      <c r="T556" s="680"/>
      <c r="U556" s="663"/>
      <c r="V556" s="1314">
        <f t="shared" si="61"/>
        <v>0</v>
      </c>
      <c r="AB556" s="15"/>
    </row>
    <row r="557" spans="1:36" s="8" customFormat="1" ht="15.75" hidden="1" customHeight="1">
      <c r="A557" s="516" t="s">
        <v>674</v>
      </c>
      <c r="B557" s="877"/>
      <c r="C557" s="113"/>
      <c r="D557" s="2475"/>
      <c r="E557" s="2460"/>
      <c r="F557" s="2460"/>
      <c r="G557" s="2460"/>
      <c r="H557" s="2460"/>
      <c r="I557" s="2476"/>
      <c r="J557" s="2477"/>
      <c r="K557" s="2478"/>
      <c r="L557" s="2470"/>
      <c r="M557" s="2441" t="s">
        <v>22</v>
      </c>
      <c r="N557" s="2442"/>
      <c r="O557" s="2442"/>
      <c r="P557" s="2442"/>
      <c r="Q557" s="2443"/>
      <c r="R557" s="521">
        <f>R555-R556</f>
        <v>0</v>
      </c>
      <c r="S557" s="522" t="str">
        <f>L555</f>
        <v>kg</v>
      </c>
      <c r="T557" s="680"/>
      <c r="U557" s="663"/>
      <c r="V557" s="1314">
        <f>R557</f>
        <v>0</v>
      </c>
      <c r="AB557" s="15"/>
    </row>
    <row r="558" spans="1:36" s="8" customFormat="1" ht="15.75" hidden="1">
      <c r="A558" s="516"/>
      <c r="B558" s="523"/>
      <c r="C558" s="524"/>
      <c r="D558" s="526"/>
      <c r="E558" s="526"/>
      <c r="F558" s="526"/>
      <c r="G558" s="525"/>
      <c r="H558" s="525"/>
      <c r="I558" s="525"/>
      <c r="J558" s="527"/>
      <c r="K558" s="528"/>
      <c r="L558" s="529"/>
      <c r="M558" s="530"/>
      <c r="N558" s="530"/>
      <c r="O558" s="530"/>
      <c r="P558" s="530"/>
      <c r="Q558" s="530"/>
      <c r="R558" s="531"/>
      <c r="S558" s="532"/>
      <c r="T558" s="533"/>
      <c r="U558" s="534"/>
      <c r="V558" s="1658">
        <f>SUM(V548:V557)</f>
        <v>0</v>
      </c>
      <c r="AB558" s="15"/>
    </row>
    <row r="559" spans="1:36" s="497" customFormat="1" ht="15.75" hidden="1" customHeight="1">
      <c r="A559" s="495"/>
      <c r="B559" s="2423" t="str">
        <f>VLOOKUP(A569,'12 - FINANCEIRA'!_xlnm.Print_Area,1,FALSE)</f>
        <v>2.5.9</v>
      </c>
      <c r="C559" s="2421" t="str">
        <f>VLOOKUP(A569,'12 - FINANCEIRA'!_xlnm.Print_Area,3,FALSE)</f>
        <v>Armação em aço CA-50 - fornecimento, preparo e colocação</v>
      </c>
      <c r="D559" s="2479" t="s">
        <v>97</v>
      </c>
      <c r="E559" s="2480"/>
      <c r="F559" s="2480"/>
      <c r="G559" s="2480"/>
      <c r="H559" s="2480"/>
      <c r="I559" s="2481"/>
      <c r="J559" s="2416" t="s">
        <v>98</v>
      </c>
      <c r="K559" s="2416" t="s">
        <v>102</v>
      </c>
      <c r="L559" s="2416" t="s">
        <v>103</v>
      </c>
      <c r="M559" s="2416" t="s">
        <v>228</v>
      </c>
      <c r="N559" s="2416" t="s">
        <v>229</v>
      </c>
      <c r="O559" s="2416" t="s">
        <v>107</v>
      </c>
      <c r="P559" s="496" t="s">
        <v>153</v>
      </c>
      <c r="Q559" s="2425" t="s">
        <v>2</v>
      </c>
      <c r="R559" s="2425" t="s">
        <v>2</v>
      </c>
      <c r="S559" s="2416" t="s">
        <v>99</v>
      </c>
      <c r="T559" s="2416" t="s">
        <v>17</v>
      </c>
      <c r="U559" s="2428" t="s">
        <v>362</v>
      </c>
      <c r="V559" s="870">
        <f t="shared" ref="V559:V568" si="62">V560</f>
        <v>0</v>
      </c>
      <c r="W559" s="26"/>
      <c r="X559" s="26"/>
      <c r="Y559" s="26"/>
      <c r="Z559" s="27"/>
      <c r="AA559" s="9"/>
      <c r="AB559" s="9"/>
      <c r="AC559" s="9"/>
      <c r="AD559" s="9"/>
      <c r="AE559" s="9"/>
      <c r="AF559" s="9"/>
      <c r="AG559" s="9"/>
      <c r="AH559" s="9"/>
      <c r="AI559" s="9"/>
      <c r="AJ559" s="9"/>
    </row>
    <row r="560" spans="1:36" s="497" customFormat="1" ht="15.75" hidden="1">
      <c r="A560" s="495"/>
      <c r="B560" s="2424" t="e">
        <f>LEFT(#REF!,5)</f>
        <v>#REF!</v>
      </c>
      <c r="C560" s="2422" t="e">
        <f>VLOOKUP(LEFT(#REF!,5),'12 - FINANCEIRA'!_xlnm.Print_Area,2,FALSE)</f>
        <v>#REF!</v>
      </c>
      <c r="D560" s="2430" t="s">
        <v>14</v>
      </c>
      <c r="E560" s="2431"/>
      <c r="F560" s="2432"/>
      <c r="G560" s="2433" t="s">
        <v>15</v>
      </c>
      <c r="H560" s="2434"/>
      <c r="I560" s="2435"/>
      <c r="J560" s="2417"/>
      <c r="K560" s="2417"/>
      <c r="L560" s="2417"/>
      <c r="M560" s="2417"/>
      <c r="N560" s="2417"/>
      <c r="O560" s="2417"/>
      <c r="P560" s="498" t="s">
        <v>104</v>
      </c>
      <c r="Q560" s="2473"/>
      <c r="R560" s="2473"/>
      <c r="S560" s="2417"/>
      <c r="T560" s="2417"/>
      <c r="U560" s="2474"/>
      <c r="V560" s="870">
        <f t="shared" si="62"/>
        <v>0</v>
      </c>
      <c r="W560" s="26"/>
      <c r="X560" s="26"/>
      <c r="Y560" s="26"/>
      <c r="Z560" s="27"/>
      <c r="AA560" s="9"/>
      <c r="AB560" s="9"/>
      <c r="AC560" s="9"/>
      <c r="AD560" s="9"/>
      <c r="AE560" s="9"/>
      <c r="AF560" s="9"/>
      <c r="AG560" s="9"/>
      <c r="AH560" s="9"/>
      <c r="AI560" s="9"/>
      <c r="AJ560" s="9"/>
    </row>
    <row r="561" spans="1:36" s="9" customFormat="1" ht="30" hidden="1">
      <c r="A561" s="944"/>
      <c r="B561" s="922"/>
      <c r="C561" s="30" t="s">
        <v>517</v>
      </c>
      <c r="D561" s="1451"/>
      <c r="E561" s="1455"/>
      <c r="F561" s="33"/>
      <c r="G561" s="1451"/>
      <c r="H561" s="1455"/>
      <c r="I561" s="33"/>
      <c r="J561" s="1439" t="s">
        <v>105</v>
      </c>
      <c r="K561" s="1451">
        <f>4.06*5</f>
        <v>20.299999999999997</v>
      </c>
      <c r="L561" s="1452"/>
      <c r="M561" s="851"/>
      <c r="N561" s="1453">
        <f>Q561*K561</f>
        <v>182.7</v>
      </c>
      <c r="O561" s="1454"/>
      <c r="P561" s="1452">
        <v>0.96299999999999997</v>
      </c>
      <c r="Q561" s="1439">
        <v>9</v>
      </c>
      <c r="R561" s="1427">
        <f>TRUNC(N561*P561,3)</f>
        <v>175.94</v>
      </c>
      <c r="S561" s="35" t="s">
        <v>420</v>
      </c>
      <c r="T561" s="772" t="s">
        <v>85</v>
      </c>
      <c r="U561" s="30" t="s">
        <v>913</v>
      </c>
      <c r="V561" s="870">
        <f t="shared" si="62"/>
        <v>0</v>
      </c>
      <c r="W561" s="26"/>
      <c r="X561" s="26"/>
      <c r="Y561" s="26"/>
      <c r="Z561" s="27"/>
      <c r="AA561" s="41"/>
      <c r="AB561" s="42"/>
    </row>
    <row r="562" spans="1:36" s="9" customFormat="1" ht="15" hidden="1">
      <c r="A562" s="944"/>
      <c r="B562" s="922"/>
      <c r="C562" s="30" t="s">
        <v>517</v>
      </c>
      <c r="D562" s="1451"/>
      <c r="E562" s="1455"/>
      <c r="F562" s="33"/>
      <c r="G562" s="1451"/>
      <c r="H562" s="1455"/>
      <c r="I562" s="33"/>
      <c r="J562" s="1439" t="s">
        <v>105</v>
      </c>
      <c r="K562" s="1486">
        <f>2*4</f>
        <v>8</v>
      </c>
      <c r="L562" s="1452"/>
      <c r="M562" s="851"/>
      <c r="N562" s="1453">
        <f t="shared" ref="N562:N563" si="63">Q562*K562</f>
        <v>72</v>
      </c>
      <c r="O562" s="1454"/>
      <c r="P562" s="1452">
        <v>0.96299999999999997</v>
      </c>
      <c r="Q562" s="1439">
        <v>9</v>
      </c>
      <c r="R562" s="1427">
        <f>TRUNC(N562*P562,3)</f>
        <v>69.335999999999999</v>
      </c>
      <c r="S562" s="35" t="s">
        <v>420</v>
      </c>
      <c r="T562" s="90" t="s">
        <v>85</v>
      </c>
      <c r="U562" s="30" t="s">
        <v>914</v>
      </c>
      <c r="V562" s="870">
        <f t="shared" si="62"/>
        <v>0</v>
      </c>
      <c r="W562" s="26"/>
      <c r="X562" s="26"/>
      <c r="Y562" s="26"/>
      <c r="Z562" s="27"/>
      <c r="AA562" s="41"/>
      <c r="AB562" s="42"/>
    </row>
    <row r="563" spans="1:36" s="8" customFormat="1" ht="15" hidden="1">
      <c r="A563" s="516"/>
      <c r="B563" s="922"/>
      <c r="C563" s="30" t="s">
        <v>517</v>
      </c>
      <c r="D563" s="1451"/>
      <c r="E563" s="1455"/>
      <c r="F563" s="33"/>
      <c r="G563" s="1451"/>
      <c r="H563" s="1455"/>
      <c r="I563" s="33"/>
      <c r="J563" s="1439" t="s">
        <v>105</v>
      </c>
      <c r="K563" s="1456">
        <f>0.92*4</f>
        <v>3.68</v>
      </c>
      <c r="L563" s="1452"/>
      <c r="M563" s="851"/>
      <c r="N563" s="1453">
        <f t="shared" si="63"/>
        <v>33.120000000000005</v>
      </c>
      <c r="O563" s="1454"/>
      <c r="P563" s="1452">
        <v>0.96299999999999997</v>
      </c>
      <c r="Q563" s="1439">
        <v>9</v>
      </c>
      <c r="R563" s="1427">
        <f>TRUNC(N563*P563,3)</f>
        <v>31.893999999999998</v>
      </c>
      <c r="S563" s="35" t="s">
        <v>420</v>
      </c>
      <c r="T563" s="90" t="s">
        <v>85</v>
      </c>
      <c r="U563" s="1457" t="s">
        <v>915</v>
      </c>
      <c r="V563" s="870">
        <f>V566</f>
        <v>0</v>
      </c>
      <c r="W563" s="938"/>
      <c r="X563" s="938"/>
      <c r="Y563" s="938"/>
      <c r="Z563" s="939"/>
    </row>
    <row r="564" spans="1:36" s="8" customFormat="1" ht="15" hidden="1">
      <c r="A564" s="516"/>
      <c r="B564" s="924"/>
      <c r="C564" s="30" t="s">
        <v>517</v>
      </c>
      <c r="D564" s="1451"/>
      <c r="E564" s="1455"/>
      <c r="F564" s="33"/>
      <c r="G564" s="1451"/>
      <c r="H564" s="1455"/>
      <c r="I564" s="33"/>
      <c r="J564" s="1439" t="s">
        <v>105</v>
      </c>
      <c r="K564" s="1451">
        <f>4.06*5</f>
        <v>20.299999999999997</v>
      </c>
      <c r="L564" s="1452"/>
      <c r="M564" s="851"/>
      <c r="N564" s="1453">
        <f>Q564*K564</f>
        <v>182.7</v>
      </c>
      <c r="O564" s="1454"/>
      <c r="P564" s="1452">
        <v>0.96299999999999997</v>
      </c>
      <c r="Q564" s="1439">
        <v>9</v>
      </c>
      <c r="R564" s="1427">
        <f>TRUNC(N564*P564,3)*-1</f>
        <v>-175.94</v>
      </c>
      <c r="S564" s="35" t="s">
        <v>420</v>
      </c>
      <c r="T564" s="888" t="s">
        <v>86</v>
      </c>
      <c r="U564" s="167" t="s">
        <v>910</v>
      </c>
      <c r="V564" s="870">
        <f t="shared" ref="V564:V565" si="64">V565</f>
        <v>0</v>
      </c>
      <c r="W564" s="938"/>
      <c r="X564" s="938"/>
      <c r="Y564" s="938"/>
      <c r="Z564" s="939"/>
    </row>
    <row r="565" spans="1:36" s="8" customFormat="1" ht="15" hidden="1">
      <c r="A565" s="516"/>
      <c r="B565" s="924"/>
      <c r="C565" s="30" t="s">
        <v>517</v>
      </c>
      <c r="D565" s="1451"/>
      <c r="E565" s="1455"/>
      <c r="F565" s="33"/>
      <c r="G565" s="1451"/>
      <c r="H565" s="1455"/>
      <c r="I565" s="33"/>
      <c r="J565" s="1439" t="s">
        <v>105</v>
      </c>
      <c r="K565" s="1486">
        <f>2*4</f>
        <v>8</v>
      </c>
      <c r="L565" s="1452"/>
      <c r="M565" s="851"/>
      <c r="N565" s="1453">
        <f t="shared" ref="N565:N566" si="65">Q565*K565</f>
        <v>72</v>
      </c>
      <c r="O565" s="1454"/>
      <c r="P565" s="1452">
        <v>0.96299999999999997</v>
      </c>
      <c r="Q565" s="1439">
        <v>9</v>
      </c>
      <c r="R565" s="1427">
        <f>TRUNC(N565*P565,3)*-1</f>
        <v>-69.335999999999999</v>
      </c>
      <c r="S565" s="35" t="s">
        <v>420</v>
      </c>
      <c r="T565" s="888" t="s">
        <v>86</v>
      </c>
      <c r="U565" s="167" t="s">
        <v>910</v>
      </c>
      <c r="V565" s="870">
        <f t="shared" si="64"/>
        <v>0</v>
      </c>
      <c r="W565" s="938"/>
      <c r="X565" s="938"/>
      <c r="Y565" s="938"/>
      <c r="Z565" s="939"/>
    </row>
    <row r="566" spans="1:36" s="8" customFormat="1" ht="15" hidden="1">
      <c r="A566" s="516"/>
      <c r="B566" s="59"/>
      <c r="C566" s="896" t="s">
        <v>517</v>
      </c>
      <c r="D566" s="1451"/>
      <c r="E566" s="1455"/>
      <c r="F566" s="33"/>
      <c r="G566" s="1451"/>
      <c r="H566" s="1455"/>
      <c r="I566" s="33"/>
      <c r="J566" s="1439" t="s">
        <v>105</v>
      </c>
      <c r="K566" s="1456">
        <f>0.92*4</f>
        <v>3.68</v>
      </c>
      <c r="L566" s="1452"/>
      <c r="M566" s="851"/>
      <c r="N566" s="1453">
        <f t="shared" si="65"/>
        <v>33.120000000000005</v>
      </c>
      <c r="O566" s="1454"/>
      <c r="P566" s="1452">
        <v>0.96299999999999997</v>
      </c>
      <c r="Q566" s="1439">
        <v>9</v>
      </c>
      <c r="R566" s="1427">
        <f>TRUNC(N566*P566,3)*-1</f>
        <v>-31.893999999999998</v>
      </c>
      <c r="S566" s="54" t="s">
        <v>420</v>
      </c>
      <c r="T566" s="733" t="s">
        <v>86</v>
      </c>
      <c r="U566" s="158" t="s">
        <v>910</v>
      </c>
      <c r="V566" s="870">
        <f t="shared" si="62"/>
        <v>0</v>
      </c>
      <c r="AB566" s="15"/>
    </row>
    <row r="567" spans="1:36" s="8" customFormat="1" ht="15.75" hidden="1" customHeight="1">
      <c r="A567" s="516"/>
      <c r="B567" s="877"/>
      <c r="C567" s="113"/>
      <c r="D567" s="2436" t="s">
        <v>18</v>
      </c>
      <c r="E567" s="2437"/>
      <c r="F567" s="2437"/>
      <c r="G567" s="2437"/>
      <c r="H567" s="2437"/>
      <c r="I567" s="2438"/>
      <c r="J567" s="2439">
        <f>VLOOKUP(A569,'12 - FINANCEIRA'!_xlnm.Print_Area,6,FALSE)</f>
        <v>1507</v>
      </c>
      <c r="K567" s="2440"/>
      <c r="L567" s="519" t="str">
        <f>VLOOKUP(A569,'12 - FINANCEIRA'!_xlnm.Print_Area,4,FALSE)</f>
        <v>kg</v>
      </c>
      <c r="M567" s="2441" t="s">
        <v>19</v>
      </c>
      <c r="N567" s="2442"/>
      <c r="O567" s="2442"/>
      <c r="P567" s="2442"/>
      <c r="Q567" s="2443"/>
      <c r="R567" s="878">
        <f>SUM(R561:R566)</f>
        <v>0</v>
      </c>
      <c r="S567" s="520" t="str">
        <f>L567</f>
        <v>kg</v>
      </c>
      <c r="T567" s="680"/>
      <c r="U567" s="663"/>
      <c r="V567" s="870">
        <f t="shared" si="62"/>
        <v>0</v>
      </c>
      <c r="AB567" s="15"/>
    </row>
    <row r="568" spans="1:36" s="8" customFormat="1" ht="15.75" hidden="1" customHeight="1">
      <c r="A568" s="516"/>
      <c r="B568" s="877"/>
      <c r="C568" s="681"/>
      <c r="D568" s="2444" t="s">
        <v>20</v>
      </c>
      <c r="E568" s="2445"/>
      <c r="F568" s="2445"/>
      <c r="G568" s="2445"/>
      <c r="H568" s="2445"/>
      <c r="I568" s="2446"/>
      <c r="J568" s="2450">
        <f>R567/J567</f>
        <v>0</v>
      </c>
      <c r="K568" s="2451"/>
      <c r="L568" s="2454"/>
      <c r="M568" s="2441" t="s">
        <v>21</v>
      </c>
      <c r="N568" s="2442"/>
      <c r="O568" s="2442"/>
      <c r="P568" s="2442"/>
      <c r="Q568" s="2443"/>
      <c r="R568" s="878">
        <f>VLOOKUP(A569,'12 - FINANCEIRA'!_xlnm.Print_Area,8,FALSE)</f>
        <v>0</v>
      </c>
      <c r="S568" s="879" t="str">
        <f>L567</f>
        <v>kg</v>
      </c>
      <c r="T568" s="680"/>
      <c r="U568" s="663"/>
      <c r="V568" s="870">
        <f t="shared" si="62"/>
        <v>0</v>
      </c>
      <c r="AB568" s="15"/>
    </row>
    <row r="569" spans="1:36" s="8" customFormat="1" ht="15.75" hidden="1" customHeight="1">
      <c r="A569" s="516" t="s">
        <v>675</v>
      </c>
      <c r="B569" s="877"/>
      <c r="C569" s="113"/>
      <c r="D569" s="2475"/>
      <c r="E569" s="2460"/>
      <c r="F569" s="2460"/>
      <c r="G569" s="2460"/>
      <c r="H569" s="2460"/>
      <c r="I569" s="2476"/>
      <c r="J569" s="2477"/>
      <c r="K569" s="2478"/>
      <c r="L569" s="2470"/>
      <c r="M569" s="2441" t="s">
        <v>22</v>
      </c>
      <c r="N569" s="2442"/>
      <c r="O569" s="2442"/>
      <c r="P569" s="2442"/>
      <c r="Q569" s="2443"/>
      <c r="R569" s="521">
        <f>R567-R568</f>
        <v>0</v>
      </c>
      <c r="S569" s="522" t="str">
        <f>L567</f>
        <v>kg</v>
      </c>
      <c r="T569" s="680"/>
      <c r="U569" s="663"/>
      <c r="V569" s="870">
        <f>R569</f>
        <v>0</v>
      </c>
      <c r="AB569" s="15"/>
    </row>
    <row r="570" spans="1:36" s="8" customFormat="1" ht="15.75" hidden="1">
      <c r="A570" s="516"/>
      <c r="B570" s="523"/>
      <c r="C570" s="524"/>
      <c r="D570" s="526"/>
      <c r="E570" s="526"/>
      <c r="F570" s="526"/>
      <c r="G570" s="525"/>
      <c r="H570" s="525"/>
      <c r="I570" s="525"/>
      <c r="J570" s="527"/>
      <c r="K570" s="528"/>
      <c r="L570" s="529"/>
      <c r="M570" s="530"/>
      <c r="N570" s="530"/>
      <c r="O570" s="530"/>
      <c r="P570" s="530"/>
      <c r="Q570" s="530"/>
      <c r="R570" s="531"/>
      <c r="S570" s="532"/>
      <c r="T570" s="533"/>
      <c r="U570" s="534"/>
      <c r="V570" s="871">
        <f>SUM(V559:V569)</f>
        <v>0</v>
      </c>
      <c r="AB570" s="15"/>
    </row>
    <row r="571" spans="1:36" s="497" customFormat="1" ht="15.75" hidden="1" customHeight="1">
      <c r="A571" s="495"/>
      <c r="B571" s="2423" t="str">
        <f>VLOOKUP(A579,'12 - FINANCEIRA'!_xlnm.Print_Area,1,FALSE)</f>
        <v>2.5.10</v>
      </c>
      <c r="C571" s="2421" t="str">
        <f>VLOOKUP(A579,'12 - FINANCEIRA'!_xlnm.Print_Area,3,FALSE)</f>
        <v>Lastro com material granular (pedra britada n.3), aplicado em pisos ou radiers, espessura de *10 cm*. AF_07/2019</v>
      </c>
      <c r="D571" s="2479" t="s">
        <v>97</v>
      </c>
      <c r="E571" s="2480"/>
      <c r="F571" s="2480"/>
      <c r="G571" s="2480"/>
      <c r="H571" s="2480"/>
      <c r="I571" s="2481"/>
      <c r="J571" s="2416" t="s">
        <v>98</v>
      </c>
      <c r="K571" s="2416" t="s">
        <v>102</v>
      </c>
      <c r="L571" s="2416" t="s">
        <v>103</v>
      </c>
      <c r="M571" s="2416" t="s">
        <v>228</v>
      </c>
      <c r="N571" s="2416" t="s">
        <v>525</v>
      </c>
      <c r="O571" s="2416" t="s">
        <v>107</v>
      </c>
      <c r="P571" s="2416" t="s">
        <v>613</v>
      </c>
      <c r="Q571" s="2416" t="s">
        <v>16</v>
      </c>
      <c r="R571" s="2425" t="s">
        <v>2</v>
      </c>
      <c r="S571" s="2416" t="s">
        <v>99</v>
      </c>
      <c r="T571" s="2416" t="s">
        <v>17</v>
      </c>
      <c r="U571" s="2428" t="s">
        <v>362</v>
      </c>
      <c r="V571" s="870">
        <f t="shared" ref="V571:V578" si="66">V572</f>
        <v>0</v>
      </c>
      <c r="W571" s="26"/>
      <c r="X571" s="26"/>
      <c r="Y571" s="26"/>
      <c r="Z571" s="27"/>
      <c r="AA571" s="9"/>
      <c r="AB571" s="9"/>
      <c r="AC571" s="9"/>
      <c r="AD571" s="9"/>
      <c r="AE571" s="9"/>
      <c r="AF571" s="9"/>
      <c r="AG571" s="9"/>
      <c r="AH571" s="9"/>
      <c r="AI571" s="9"/>
      <c r="AJ571" s="9"/>
    </row>
    <row r="572" spans="1:36" s="497" customFormat="1" ht="15.75" hidden="1">
      <c r="A572" s="495"/>
      <c r="B572" s="2424" t="e">
        <f>LEFT(#REF!,5)</f>
        <v>#REF!</v>
      </c>
      <c r="C572" s="2422" t="e">
        <f>VLOOKUP(LEFT(#REF!,5),'12 - FINANCEIRA'!_xlnm.Print_Area,2,FALSE)</f>
        <v>#REF!</v>
      </c>
      <c r="D572" s="2430" t="s">
        <v>14</v>
      </c>
      <c r="E572" s="2431"/>
      <c r="F572" s="2432"/>
      <c r="G572" s="2433" t="s">
        <v>15</v>
      </c>
      <c r="H572" s="2434"/>
      <c r="I572" s="2435"/>
      <c r="J572" s="2417"/>
      <c r="K572" s="2417"/>
      <c r="L572" s="2417"/>
      <c r="M572" s="2417"/>
      <c r="N572" s="2417"/>
      <c r="O572" s="2417"/>
      <c r="P572" s="2417"/>
      <c r="Q572" s="2417"/>
      <c r="R572" s="2473"/>
      <c r="S572" s="2417"/>
      <c r="T572" s="2417"/>
      <c r="U572" s="2474"/>
      <c r="V572" s="870">
        <f t="shared" si="66"/>
        <v>0</v>
      </c>
      <c r="W572" s="26"/>
      <c r="X572" s="26"/>
      <c r="Y572" s="26"/>
      <c r="Z572" s="27"/>
      <c r="AA572" s="9"/>
      <c r="AB572" s="9"/>
      <c r="AC572" s="9"/>
      <c r="AD572" s="9"/>
      <c r="AE572" s="9"/>
      <c r="AF572" s="9"/>
      <c r="AG572" s="9"/>
      <c r="AH572" s="9"/>
      <c r="AI572" s="9"/>
      <c r="AJ572" s="9"/>
    </row>
    <row r="573" spans="1:36" s="9" customFormat="1" ht="30" hidden="1">
      <c r="A573" s="944"/>
      <c r="B573" s="933"/>
      <c r="C573" s="858" t="s">
        <v>689</v>
      </c>
      <c r="D573" s="859">
        <v>100</v>
      </c>
      <c r="E573" s="860" t="s">
        <v>68</v>
      </c>
      <c r="F573" s="861">
        <v>0</v>
      </c>
      <c r="G573" s="859">
        <v>113</v>
      </c>
      <c r="H573" s="860" t="s">
        <v>68</v>
      </c>
      <c r="I573" s="861">
        <v>15</v>
      </c>
      <c r="J573" s="862" t="s">
        <v>105</v>
      </c>
      <c r="K573" s="864">
        <f>(G573-D573)*20+I573-F573</f>
        <v>275</v>
      </c>
      <c r="L573" s="864">
        <v>2.8</v>
      </c>
      <c r="M573" s="865">
        <v>0.3</v>
      </c>
      <c r="N573" s="866"/>
      <c r="O573" s="934"/>
      <c r="P573" s="864"/>
      <c r="Q573" s="867"/>
      <c r="R573" s="1297">
        <f>K573*L573*M573</f>
        <v>231</v>
      </c>
      <c r="S573" s="935" t="s">
        <v>5</v>
      </c>
      <c r="T573" s="936" t="s">
        <v>83</v>
      </c>
      <c r="U573" s="1172" t="s">
        <v>715</v>
      </c>
      <c r="V573" s="870">
        <f t="shared" si="66"/>
        <v>0</v>
      </c>
      <c r="W573" s="26"/>
      <c r="X573" s="26"/>
      <c r="Y573" s="26"/>
      <c r="Z573" s="27"/>
      <c r="AA573" s="41"/>
      <c r="AB573" s="42"/>
    </row>
    <row r="574" spans="1:36" s="9" customFormat="1" ht="30" hidden="1">
      <c r="A574" s="944"/>
      <c r="B574" s="1320"/>
      <c r="C574" s="1457" t="s">
        <v>689</v>
      </c>
      <c r="D574" s="82">
        <v>0</v>
      </c>
      <c r="E574" s="44" t="s">
        <v>68</v>
      </c>
      <c r="F574" s="83">
        <v>0</v>
      </c>
      <c r="G574" s="82">
        <v>17</v>
      </c>
      <c r="H574" s="44" t="s">
        <v>68</v>
      </c>
      <c r="I574" s="83">
        <v>0</v>
      </c>
      <c r="J574" s="1503" t="s">
        <v>105</v>
      </c>
      <c r="K574" s="1504">
        <f>(G574-D574)*20+I574-F574</f>
        <v>340</v>
      </c>
      <c r="L574" s="1504">
        <v>2.8</v>
      </c>
      <c r="M574" s="1505">
        <v>0.3</v>
      </c>
      <c r="N574" s="1506"/>
      <c r="O574" s="1507"/>
      <c r="P574" s="1504"/>
      <c r="Q574" s="1508"/>
      <c r="R574" s="1509">
        <f>TRUNC(K574*L574*M574,3)</f>
        <v>285.60000000000002</v>
      </c>
      <c r="S574" s="1510" t="s">
        <v>5</v>
      </c>
      <c r="T574" s="1443" t="s">
        <v>87</v>
      </c>
      <c r="U574" s="78" t="s">
        <v>715</v>
      </c>
      <c r="V574" s="870">
        <f t="shared" si="66"/>
        <v>0</v>
      </c>
      <c r="W574" s="26"/>
      <c r="X574" s="26"/>
      <c r="Y574" s="26"/>
      <c r="Z574" s="27"/>
      <c r="AA574" s="41"/>
      <c r="AB574" s="42"/>
    </row>
    <row r="575" spans="1:36" s="724" customFormat="1" ht="15" hidden="1">
      <c r="A575" s="717"/>
      <c r="B575" s="1047"/>
      <c r="C575" s="981"/>
      <c r="D575" s="1048"/>
      <c r="E575" s="1049"/>
      <c r="F575" s="1050"/>
      <c r="G575" s="1048"/>
      <c r="H575" s="1049"/>
      <c r="I575" s="1050"/>
      <c r="J575" s="1051"/>
      <c r="K575" s="982"/>
      <c r="L575" s="982"/>
      <c r="M575" s="983"/>
      <c r="N575" s="1052"/>
      <c r="O575" s="984"/>
      <c r="P575" s="982"/>
      <c r="Q575" s="1041"/>
      <c r="R575" s="1053"/>
      <c r="S575" s="1054"/>
      <c r="T575" s="986"/>
      <c r="U575" s="956"/>
      <c r="V575" s="870">
        <f t="shared" si="66"/>
        <v>0</v>
      </c>
      <c r="W575" s="26"/>
      <c r="X575" s="26"/>
      <c r="Y575" s="720"/>
      <c r="Z575" s="721"/>
      <c r="AA575" s="722"/>
      <c r="AB575" s="723"/>
    </row>
    <row r="576" spans="1:36" s="724" customFormat="1" ht="15" hidden="1">
      <c r="A576" s="717"/>
      <c r="B576" s="1075"/>
      <c r="C576" s="1066"/>
      <c r="D576" s="1056"/>
      <c r="E576" s="1057"/>
      <c r="F576" s="1067"/>
      <c r="G576" s="1056"/>
      <c r="H576" s="1057"/>
      <c r="I576" s="1067"/>
      <c r="J576" s="1068"/>
      <c r="K576" s="1069"/>
      <c r="L576" s="1069"/>
      <c r="M576" s="1070"/>
      <c r="N576" s="1076"/>
      <c r="O576" s="1071"/>
      <c r="P576" s="1069"/>
      <c r="Q576" s="1072"/>
      <c r="R576" s="1077"/>
      <c r="S576" s="1073"/>
      <c r="T576" s="1074"/>
      <c r="U576" s="1078"/>
      <c r="V576" s="870">
        <f t="shared" si="66"/>
        <v>0</v>
      </c>
      <c r="W576" s="26"/>
      <c r="X576" s="26"/>
      <c r="Y576" s="720"/>
      <c r="Z576" s="721"/>
      <c r="AA576" s="722"/>
      <c r="AB576" s="723"/>
    </row>
    <row r="577" spans="1:36" s="8" customFormat="1" ht="15.75" hidden="1" customHeight="1">
      <c r="A577" s="516"/>
      <c r="B577" s="877"/>
      <c r="C577" s="113"/>
      <c r="D577" s="2436" t="s">
        <v>18</v>
      </c>
      <c r="E577" s="2437"/>
      <c r="F577" s="2437"/>
      <c r="G577" s="2437"/>
      <c r="H577" s="2437"/>
      <c r="I577" s="2438"/>
      <c r="J577" s="2439">
        <f>VLOOKUP(A579,'12 - FINANCEIRA'!_xlnm.Print_Area,6,FALSE)</f>
        <v>516.6</v>
      </c>
      <c r="K577" s="2440"/>
      <c r="L577" s="910" t="str">
        <f>VLOOKUP(A579,'12 - FINANCEIRA'!_xlnm.Print_Area,4,FALSE)</f>
        <v>m³</v>
      </c>
      <c r="M577" s="2441" t="s">
        <v>19</v>
      </c>
      <c r="N577" s="2442"/>
      <c r="O577" s="2442"/>
      <c r="P577" s="2442"/>
      <c r="Q577" s="2443"/>
      <c r="R577" s="904">
        <f>SUM(R573:R576)</f>
        <v>516.6</v>
      </c>
      <c r="S577" s="905" t="str">
        <f>L577</f>
        <v>m³</v>
      </c>
      <c r="T577" s="680"/>
      <c r="U577" s="663"/>
      <c r="V577" s="870">
        <f t="shared" si="66"/>
        <v>0</v>
      </c>
      <c r="AB577" s="15"/>
    </row>
    <row r="578" spans="1:36" s="8" customFormat="1" ht="15.75" hidden="1" customHeight="1">
      <c r="A578" s="516"/>
      <c r="B578" s="877"/>
      <c r="C578" s="681"/>
      <c r="D578" s="2444" t="s">
        <v>20</v>
      </c>
      <c r="E578" s="2445"/>
      <c r="F578" s="2445"/>
      <c r="G578" s="2445"/>
      <c r="H578" s="2445"/>
      <c r="I578" s="2446"/>
      <c r="J578" s="2450">
        <f>R577/J577</f>
        <v>1</v>
      </c>
      <c r="K578" s="2451"/>
      <c r="L578" s="2454"/>
      <c r="M578" s="2441" t="s">
        <v>21</v>
      </c>
      <c r="N578" s="2442"/>
      <c r="O578" s="2442"/>
      <c r="P578" s="2442"/>
      <c r="Q578" s="2443"/>
      <c r="R578" s="878">
        <f>VLOOKUP(A579,'12 - FINANCEIRA'!_xlnm.Print_Area,8,FALSE)</f>
        <v>516.59999999999991</v>
      </c>
      <c r="S578" s="879" t="str">
        <f>L577</f>
        <v>m³</v>
      </c>
      <c r="T578" s="680"/>
      <c r="U578" s="663"/>
      <c r="V578" s="870">
        <f t="shared" si="66"/>
        <v>0</v>
      </c>
      <c r="AB578" s="15"/>
    </row>
    <row r="579" spans="1:36" s="8" customFormat="1" ht="15.75" hidden="1" customHeight="1">
      <c r="A579" s="516" t="s">
        <v>676</v>
      </c>
      <c r="B579" s="880"/>
      <c r="C579" s="885"/>
      <c r="D579" s="2475"/>
      <c r="E579" s="2460"/>
      <c r="F579" s="2460"/>
      <c r="G579" s="2460"/>
      <c r="H579" s="2460"/>
      <c r="I579" s="2476"/>
      <c r="J579" s="2477"/>
      <c r="K579" s="2478"/>
      <c r="L579" s="2470"/>
      <c r="M579" s="2441" t="s">
        <v>22</v>
      </c>
      <c r="N579" s="2442"/>
      <c r="O579" s="2442"/>
      <c r="P579" s="2442"/>
      <c r="Q579" s="2443"/>
      <c r="R579" s="878">
        <f>R577-R578</f>
        <v>0</v>
      </c>
      <c r="S579" s="879" t="str">
        <f>L577</f>
        <v>m³</v>
      </c>
      <c r="T579" s="886"/>
      <c r="U579" s="881"/>
      <c r="V579" s="870">
        <f>R579</f>
        <v>0</v>
      </c>
      <c r="AB579" s="15"/>
    </row>
    <row r="580" spans="1:36" s="8" customFormat="1" ht="15.75" hidden="1">
      <c r="A580" s="516"/>
      <c r="B580" s="523"/>
      <c r="C580" s="524"/>
      <c r="D580" s="526"/>
      <c r="E580" s="526"/>
      <c r="F580" s="526"/>
      <c r="G580" s="525"/>
      <c r="H580" s="525"/>
      <c r="I580" s="525"/>
      <c r="J580" s="527"/>
      <c r="K580" s="528"/>
      <c r="L580" s="529"/>
      <c r="M580" s="530"/>
      <c r="N580" s="530"/>
      <c r="O580" s="530"/>
      <c r="P580" s="530"/>
      <c r="Q580" s="530"/>
      <c r="R580" s="531"/>
      <c r="S580" s="532"/>
      <c r="T580" s="533"/>
      <c r="U580" s="534"/>
      <c r="V580" s="871">
        <f>SUM(V571:V579)</f>
        <v>0</v>
      </c>
      <c r="AB580" s="15"/>
    </row>
    <row r="581" spans="1:36" s="497" customFormat="1" ht="15.75" hidden="1" customHeight="1">
      <c r="A581" s="495"/>
      <c r="B581" s="2423" t="str">
        <f>VLOOKUP(A589,'12 - FINANCEIRA'!_xlnm.Print_Area,1,FALSE)</f>
        <v>2.5.11</v>
      </c>
      <c r="C581" s="2421" t="str">
        <f>VLOOKUP(A589,'12 - FINANCEIRA'!_xlnm.Print_Area,3,FALSE)</f>
        <v>Escoramento cavas com prancha metalica</v>
      </c>
      <c r="D581" s="2479" t="s">
        <v>97</v>
      </c>
      <c r="E581" s="2480"/>
      <c r="F581" s="2480"/>
      <c r="G581" s="2480"/>
      <c r="H581" s="2480"/>
      <c r="I581" s="2481"/>
      <c r="J581" s="2416" t="s">
        <v>98</v>
      </c>
      <c r="K581" s="2416" t="s">
        <v>102</v>
      </c>
      <c r="L581" s="2416" t="s">
        <v>103</v>
      </c>
      <c r="M581" s="2416" t="s">
        <v>228</v>
      </c>
      <c r="N581" s="2416" t="s">
        <v>229</v>
      </c>
      <c r="O581" s="2416" t="s">
        <v>107</v>
      </c>
      <c r="P581" s="2425" t="s">
        <v>2</v>
      </c>
      <c r="Q581" s="2416" t="s">
        <v>717</v>
      </c>
      <c r="R581" s="2425" t="s">
        <v>2</v>
      </c>
      <c r="S581" s="2416" t="s">
        <v>99</v>
      </c>
      <c r="T581" s="2416" t="s">
        <v>17</v>
      </c>
      <c r="U581" s="2428" t="s">
        <v>362</v>
      </c>
      <c r="V581" s="870">
        <f t="shared" ref="V581:V588" si="67">V582</f>
        <v>0</v>
      </c>
      <c r="W581" s="26"/>
      <c r="X581" s="26"/>
      <c r="Y581" s="26"/>
      <c r="Z581" s="27"/>
      <c r="AA581" s="9"/>
      <c r="AB581" s="9"/>
      <c r="AC581" s="9"/>
      <c r="AD581" s="9"/>
      <c r="AE581" s="9"/>
      <c r="AF581" s="9"/>
      <c r="AG581" s="9"/>
      <c r="AH581" s="9"/>
      <c r="AI581" s="9"/>
      <c r="AJ581" s="9"/>
    </row>
    <row r="582" spans="1:36" s="497" customFormat="1" ht="15.75" hidden="1">
      <c r="A582" s="495"/>
      <c r="B582" s="2424" t="e">
        <f>LEFT(#REF!,5)</f>
        <v>#REF!</v>
      </c>
      <c r="C582" s="2422" t="e">
        <f>VLOOKUP(LEFT(#REF!,5),'12 - FINANCEIRA'!_xlnm.Print_Area,2,FALSE)</f>
        <v>#REF!</v>
      </c>
      <c r="D582" s="2430" t="s">
        <v>14</v>
      </c>
      <c r="E582" s="2431"/>
      <c r="F582" s="2432"/>
      <c r="G582" s="2433" t="s">
        <v>15</v>
      </c>
      <c r="H582" s="2434"/>
      <c r="I582" s="2435"/>
      <c r="J582" s="2417"/>
      <c r="K582" s="2417"/>
      <c r="L582" s="2417"/>
      <c r="M582" s="2417"/>
      <c r="N582" s="2417"/>
      <c r="O582" s="2417"/>
      <c r="P582" s="2473"/>
      <c r="Q582" s="2417"/>
      <c r="R582" s="2473"/>
      <c r="S582" s="2417"/>
      <c r="T582" s="2417"/>
      <c r="U582" s="2474"/>
      <c r="V582" s="870">
        <f t="shared" si="67"/>
        <v>0</v>
      </c>
      <c r="W582" s="26"/>
      <c r="X582" s="26"/>
      <c r="Y582" s="26"/>
      <c r="Z582" s="27"/>
      <c r="AA582" s="9"/>
      <c r="AB582" s="9"/>
      <c r="AC582" s="9"/>
      <c r="AD582" s="9"/>
      <c r="AE582" s="9"/>
      <c r="AF582" s="9"/>
      <c r="AG582" s="9"/>
      <c r="AH582" s="9"/>
      <c r="AI582" s="9"/>
      <c r="AJ582" s="9"/>
    </row>
    <row r="583" spans="1:36" s="9" customFormat="1" ht="30" hidden="1">
      <c r="A583" s="944"/>
      <c r="B583" s="921"/>
      <c r="C583" s="176" t="s">
        <v>890</v>
      </c>
      <c r="D583" s="859">
        <v>100</v>
      </c>
      <c r="E583" s="860" t="s">
        <v>68</v>
      </c>
      <c r="F583" s="861">
        <v>0</v>
      </c>
      <c r="G583" s="859">
        <v>113</v>
      </c>
      <c r="H583" s="860" t="s">
        <v>68</v>
      </c>
      <c r="I583" s="861">
        <v>15</v>
      </c>
      <c r="J583" s="862" t="s">
        <v>906</v>
      </c>
      <c r="K583" s="864">
        <f>(G583-D583)*20+I583-F583</f>
        <v>275</v>
      </c>
      <c r="L583" s="864"/>
      <c r="M583" s="865">
        <v>3.4</v>
      </c>
      <c r="N583" s="866"/>
      <c r="O583" s="934"/>
      <c r="P583" s="864"/>
      <c r="Q583" s="867">
        <v>2</v>
      </c>
      <c r="R583" s="1297">
        <f>M583*K583*Q583</f>
        <v>1870</v>
      </c>
      <c r="S583" s="935" t="s">
        <v>7</v>
      </c>
      <c r="T583" s="936" t="s">
        <v>83</v>
      </c>
      <c r="U583" s="169" t="s">
        <v>716</v>
      </c>
      <c r="V583" s="870">
        <f t="shared" si="67"/>
        <v>0</v>
      </c>
      <c r="W583" s="26"/>
      <c r="X583" s="26"/>
      <c r="Y583" s="26"/>
      <c r="Z583" s="27"/>
      <c r="AA583" s="41"/>
      <c r="AB583" s="42"/>
    </row>
    <row r="584" spans="1:36" s="9" customFormat="1" ht="30" hidden="1">
      <c r="A584" s="944"/>
      <c r="B584" s="1479"/>
      <c r="C584" s="1511" t="s">
        <v>891</v>
      </c>
      <c r="D584" s="82">
        <v>0</v>
      </c>
      <c r="E584" s="44" t="s">
        <v>68</v>
      </c>
      <c r="F584" s="83">
        <v>0</v>
      </c>
      <c r="G584" s="82">
        <v>17</v>
      </c>
      <c r="H584" s="44" t="s">
        <v>68</v>
      </c>
      <c r="I584" s="83">
        <v>0</v>
      </c>
      <c r="J584" s="1503" t="s">
        <v>906</v>
      </c>
      <c r="K584" s="48">
        <f>(G584-D584)*20+I584-F584</f>
        <v>340</v>
      </c>
      <c r="L584" s="1504"/>
      <c r="M584" s="1505">
        <v>3.4</v>
      </c>
      <c r="N584" s="1506"/>
      <c r="O584" s="1507"/>
      <c r="P584" s="1504"/>
      <c r="Q584" s="1508">
        <v>2</v>
      </c>
      <c r="R584" s="1509">
        <f>M584*K584*Q584</f>
        <v>2312</v>
      </c>
      <c r="S584" s="1510" t="s">
        <v>7</v>
      </c>
      <c r="T584" s="1443" t="s">
        <v>87</v>
      </c>
      <c r="U584" s="39" t="s">
        <v>716</v>
      </c>
      <c r="V584" s="870">
        <f>V586</f>
        <v>0</v>
      </c>
      <c r="W584" s="26"/>
      <c r="X584" s="26"/>
      <c r="Y584" s="26"/>
      <c r="Z584" s="27"/>
      <c r="AA584" s="41"/>
      <c r="AB584" s="42"/>
    </row>
    <row r="585" spans="1:36" s="1386" customFormat="1" ht="15" hidden="1">
      <c r="A585" s="1379"/>
      <c r="B585" s="1055"/>
      <c r="C585" s="76"/>
      <c r="D585" s="963"/>
      <c r="E585" s="963"/>
      <c r="F585" s="964"/>
      <c r="G585" s="962"/>
      <c r="H585" s="963"/>
      <c r="I585" s="964"/>
      <c r="J585" s="1397"/>
      <c r="K585" s="982"/>
      <c r="L585" s="982"/>
      <c r="M585" s="982"/>
      <c r="N585" s="982"/>
      <c r="O585" s="1054"/>
      <c r="P585" s="982"/>
      <c r="Q585" s="1054"/>
      <c r="R585" s="1053"/>
      <c r="S585" s="1054"/>
      <c r="T585" s="986"/>
      <c r="U585" s="719"/>
      <c r="V585" s="1380">
        <f t="shared" si="67"/>
        <v>0</v>
      </c>
      <c r="W585" s="1381"/>
      <c r="X585" s="1381"/>
      <c r="Y585" s="1382"/>
      <c r="Z585" s="1383"/>
      <c r="AA585" s="1384"/>
      <c r="AB585" s="1385"/>
    </row>
    <row r="586" spans="1:36" s="1395" customFormat="1" ht="15" hidden="1">
      <c r="A586" s="1387"/>
      <c r="B586" s="1065"/>
      <c r="C586" s="967"/>
      <c r="D586" s="1097"/>
      <c r="E586" s="1097"/>
      <c r="F586" s="1098"/>
      <c r="G586" s="1096"/>
      <c r="H586" s="1097"/>
      <c r="I586" s="1098"/>
      <c r="J586" s="1396"/>
      <c r="K586" s="978"/>
      <c r="L586" s="978"/>
      <c r="M586" s="978"/>
      <c r="N586" s="978"/>
      <c r="O586" s="1106"/>
      <c r="P586" s="978"/>
      <c r="Q586" s="1106"/>
      <c r="R586" s="1388"/>
      <c r="S586" s="1106"/>
      <c r="T586" s="1027"/>
      <c r="U586" s="1023"/>
      <c r="V586" s="1389">
        <f t="shared" si="67"/>
        <v>0</v>
      </c>
      <c r="W586" s="1390"/>
      <c r="X586" s="1390"/>
      <c r="Y586" s="1391"/>
      <c r="Z586" s="1392"/>
      <c r="AA586" s="1393"/>
      <c r="AB586" s="1394"/>
    </row>
    <row r="587" spans="1:36" s="8" customFormat="1" ht="15.75" hidden="1" customHeight="1">
      <c r="A587" s="516"/>
      <c r="B587" s="877"/>
      <c r="C587" s="113"/>
      <c r="D587" s="2436" t="s">
        <v>18</v>
      </c>
      <c r="E587" s="2437"/>
      <c r="F587" s="2437"/>
      <c r="G587" s="2437"/>
      <c r="H587" s="2437"/>
      <c r="I587" s="2438"/>
      <c r="J587" s="2439">
        <f>VLOOKUP(A589,'12 - FINANCEIRA'!_xlnm.Print_Area,6,FALSE)</f>
        <v>4182</v>
      </c>
      <c r="K587" s="2440"/>
      <c r="L587" s="910" t="str">
        <f>VLOOKUP(A589,'12 - FINANCEIRA'!_xlnm.Print_Area,4,FALSE)</f>
        <v>m²</v>
      </c>
      <c r="M587" s="2441" t="s">
        <v>19</v>
      </c>
      <c r="N587" s="2442"/>
      <c r="O587" s="2442"/>
      <c r="P587" s="2442"/>
      <c r="Q587" s="2443"/>
      <c r="R587" s="904">
        <f>SUM(R583:R586)</f>
        <v>4182</v>
      </c>
      <c r="S587" s="905" t="str">
        <f>L587</f>
        <v>m²</v>
      </c>
      <c r="T587" s="680"/>
      <c r="U587" s="663"/>
      <c r="V587" s="870">
        <f t="shared" si="67"/>
        <v>0</v>
      </c>
      <c r="AB587" s="15"/>
    </row>
    <row r="588" spans="1:36" s="8" customFormat="1" ht="15.75" hidden="1" customHeight="1">
      <c r="A588" s="516"/>
      <c r="B588" s="877"/>
      <c r="C588" s="681"/>
      <c r="D588" s="2444" t="s">
        <v>20</v>
      </c>
      <c r="E588" s="2445"/>
      <c r="F588" s="2445"/>
      <c r="G588" s="2445"/>
      <c r="H588" s="2445"/>
      <c r="I588" s="2446"/>
      <c r="J588" s="2450">
        <f>R587/J587</f>
        <v>1</v>
      </c>
      <c r="K588" s="2451"/>
      <c r="L588" s="2454"/>
      <c r="M588" s="2441" t="s">
        <v>21</v>
      </c>
      <c r="N588" s="2442"/>
      <c r="O588" s="2442"/>
      <c r="P588" s="2442"/>
      <c r="Q588" s="2443"/>
      <c r="R588" s="878">
        <f>VLOOKUP(A589,'12 - FINANCEIRA'!_xlnm.Print_Area,8,FALSE)</f>
        <v>4182</v>
      </c>
      <c r="S588" s="879" t="str">
        <f>L587</f>
        <v>m²</v>
      </c>
      <c r="T588" s="680"/>
      <c r="U588" s="663"/>
      <c r="V588" s="870">
        <f t="shared" si="67"/>
        <v>0</v>
      </c>
      <c r="AB588" s="15"/>
    </row>
    <row r="589" spans="1:36" s="8" customFormat="1" ht="15.75" hidden="1" customHeight="1">
      <c r="A589" s="516" t="s">
        <v>677</v>
      </c>
      <c r="B589" s="877"/>
      <c r="C589" s="113"/>
      <c r="D589" s="2475"/>
      <c r="E589" s="2460"/>
      <c r="F589" s="2460"/>
      <c r="G589" s="2460"/>
      <c r="H589" s="2460"/>
      <c r="I589" s="2476"/>
      <c r="J589" s="2477"/>
      <c r="K589" s="2478"/>
      <c r="L589" s="2470"/>
      <c r="M589" s="2441" t="s">
        <v>22</v>
      </c>
      <c r="N589" s="2442"/>
      <c r="O589" s="2442"/>
      <c r="P589" s="2442"/>
      <c r="Q589" s="2443"/>
      <c r="R589" s="521">
        <f>R587-R588</f>
        <v>0</v>
      </c>
      <c r="S589" s="522" t="str">
        <f>L587</f>
        <v>m²</v>
      </c>
      <c r="T589" s="680"/>
      <c r="U589" s="663"/>
      <c r="V589" s="870">
        <f>R589</f>
        <v>0</v>
      </c>
      <c r="AB589" s="15"/>
    </row>
    <row r="590" spans="1:36" s="8" customFormat="1" ht="15.75" hidden="1">
      <c r="A590" s="516"/>
      <c r="B590" s="523"/>
      <c r="C590" s="524"/>
      <c r="D590" s="526"/>
      <c r="E590" s="526"/>
      <c r="F590" s="526"/>
      <c r="G590" s="525"/>
      <c r="H590" s="525"/>
      <c r="I590" s="525"/>
      <c r="J590" s="527"/>
      <c r="K590" s="528"/>
      <c r="L590" s="529"/>
      <c r="M590" s="530"/>
      <c r="N590" s="530"/>
      <c r="O590" s="530"/>
      <c r="P590" s="530"/>
      <c r="Q590" s="530"/>
      <c r="R590" s="531"/>
      <c r="S590" s="532"/>
      <c r="T590" s="533"/>
      <c r="U590" s="534"/>
      <c r="V590" s="871">
        <f>SUM(V581:V589)</f>
        <v>0</v>
      </c>
      <c r="AB590" s="15"/>
    </row>
    <row r="591" spans="1:36" s="497" customFormat="1" ht="15.75" customHeight="1">
      <c r="A591" s="495"/>
      <c r="B591" s="2423" t="str">
        <f>VLOOKUP(A599,'12 - FINANCEIRA'!_xlnm.Print_Area,1,FALSE)</f>
        <v>2.5.12</v>
      </c>
      <c r="C591" s="2421" t="str">
        <f>VLOOKUP(A599,'12 - FINANCEIRA'!_xlnm.Print_Area,3,FALSE)</f>
        <v>Rebaixamento de lencol freatico com pont filtrantes</v>
      </c>
      <c r="D591" s="2479" t="s">
        <v>97</v>
      </c>
      <c r="E591" s="2480"/>
      <c r="F591" s="2480"/>
      <c r="G591" s="2480"/>
      <c r="H591" s="2480"/>
      <c r="I591" s="2481"/>
      <c r="J591" s="2416" t="s">
        <v>98</v>
      </c>
      <c r="K591" s="2416" t="s">
        <v>102</v>
      </c>
      <c r="L591" s="2416" t="s">
        <v>103</v>
      </c>
      <c r="M591" s="2416" t="s">
        <v>228</v>
      </c>
      <c r="N591" s="2416" t="s">
        <v>525</v>
      </c>
      <c r="O591" s="2416" t="s">
        <v>107</v>
      </c>
      <c r="P591" s="2416" t="s">
        <v>613</v>
      </c>
      <c r="Q591" s="2416" t="s">
        <v>16</v>
      </c>
      <c r="R591" s="2425" t="s">
        <v>2</v>
      </c>
      <c r="S591" s="2416" t="s">
        <v>99</v>
      </c>
      <c r="T591" s="2416" t="s">
        <v>17</v>
      </c>
      <c r="U591" s="2428" t="s">
        <v>362</v>
      </c>
      <c r="V591" s="1314">
        <f t="shared" ref="V591:V596" si="68">V592</f>
        <v>1</v>
      </c>
      <c r="W591" s="26"/>
      <c r="X591" s="26"/>
      <c r="Y591" s="26"/>
      <c r="Z591" s="27"/>
      <c r="AA591" s="9"/>
      <c r="AB591" s="9"/>
      <c r="AC591" s="9"/>
      <c r="AD591" s="9"/>
      <c r="AE591" s="9"/>
      <c r="AF591" s="9"/>
      <c r="AG591" s="9"/>
      <c r="AH591" s="9"/>
      <c r="AI591" s="9"/>
      <c r="AJ591" s="9"/>
    </row>
    <row r="592" spans="1:36" s="497" customFormat="1" ht="15.75">
      <c r="A592" s="495"/>
      <c r="B592" s="2424" t="e">
        <f>LEFT(#REF!,5)</f>
        <v>#REF!</v>
      </c>
      <c r="C592" s="2422" t="e">
        <f>VLOOKUP(LEFT(#REF!,5),'12 - FINANCEIRA'!_xlnm.Print_Area,2,FALSE)</f>
        <v>#REF!</v>
      </c>
      <c r="D592" s="2430" t="s">
        <v>14</v>
      </c>
      <c r="E592" s="2431"/>
      <c r="F592" s="2432"/>
      <c r="G592" s="2433" t="s">
        <v>15</v>
      </c>
      <c r="H592" s="2434"/>
      <c r="I592" s="2435"/>
      <c r="J592" s="2417"/>
      <c r="K592" s="2417"/>
      <c r="L592" s="2417"/>
      <c r="M592" s="2417"/>
      <c r="N592" s="2417"/>
      <c r="O592" s="2417"/>
      <c r="P592" s="2417"/>
      <c r="Q592" s="2417"/>
      <c r="R592" s="2473"/>
      <c r="S592" s="2417"/>
      <c r="T592" s="2417"/>
      <c r="U592" s="2474"/>
      <c r="V592" s="1314">
        <f t="shared" si="68"/>
        <v>1</v>
      </c>
      <c r="W592" s="26"/>
      <c r="X592" s="26"/>
      <c r="Y592" s="26"/>
      <c r="Z592" s="27"/>
      <c r="AA592" s="9"/>
      <c r="AB592" s="9"/>
      <c r="AC592" s="9"/>
      <c r="AD592" s="9"/>
      <c r="AE592" s="9"/>
      <c r="AF592" s="9"/>
      <c r="AG592" s="9"/>
      <c r="AH592" s="9"/>
      <c r="AI592" s="9"/>
      <c r="AJ592" s="9"/>
    </row>
    <row r="593" spans="1:36" s="9" customFormat="1" ht="15">
      <c r="A593" s="944"/>
      <c r="B593" s="921"/>
      <c r="C593" s="176" t="s">
        <v>1025</v>
      </c>
      <c r="D593" s="859">
        <v>0</v>
      </c>
      <c r="E593" s="860" t="s">
        <v>68</v>
      </c>
      <c r="F593" s="861">
        <v>0</v>
      </c>
      <c r="G593" s="859">
        <v>4</v>
      </c>
      <c r="H593" s="860" t="s">
        <v>68</v>
      </c>
      <c r="I593" s="861">
        <v>0</v>
      </c>
      <c r="J593" s="862" t="s">
        <v>906</v>
      </c>
      <c r="K593" s="864"/>
      <c r="L593" s="171"/>
      <c r="M593" s="770"/>
      <c r="N593" s="171"/>
      <c r="O593" s="182"/>
      <c r="P593" s="216"/>
      <c r="Q593" s="216"/>
      <c r="R593" s="88">
        <v>0.33</v>
      </c>
      <c r="S593" s="216" t="s">
        <v>711</v>
      </c>
      <c r="T593" s="772" t="s">
        <v>87</v>
      </c>
      <c r="U593" s="169"/>
      <c r="V593" s="1314">
        <f t="shared" si="68"/>
        <v>1</v>
      </c>
      <c r="W593" s="26"/>
      <c r="X593" s="26"/>
      <c r="Y593" s="26"/>
      <c r="Z593" s="27"/>
      <c r="AA593" s="41"/>
      <c r="AB593" s="42"/>
    </row>
    <row r="594" spans="1:36" s="724" customFormat="1" ht="15">
      <c r="A594" s="717"/>
      <c r="B594" s="718"/>
      <c r="C594" s="58" t="s">
        <v>1024</v>
      </c>
      <c r="D594" s="31">
        <v>6</v>
      </c>
      <c r="E594" s="32" t="s">
        <v>68</v>
      </c>
      <c r="F594" s="33">
        <v>9</v>
      </c>
      <c r="G594" s="31">
        <v>5</v>
      </c>
      <c r="H594" s="32" t="s">
        <v>68</v>
      </c>
      <c r="I594" s="33">
        <v>16</v>
      </c>
      <c r="J594" s="34" t="s">
        <v>906</v>
      </c>
      <c r="K594" s="35"/>
      <c r="L594" s="48"/>
      <c r="M594" s="49"/>
      <c r="N594" s="48"/>
      <c r="O594" s="50"/>
      <c r="P594" s="180"/>
      <c r="Q594" s="180"/>
      <c r="R594" s="168">
        <v>1</v>
      </c>
      <c r="S594" s="180" t="s">
        <v>711</v>
      </c>
      <c r="T594" s="90" t="s">
        <v>88</v>
      </c>
      <c r="U594" s="39"/>
      <c r="V594" s="1314">
        <f t="shared" si="68"/>
        <v>1</v>
      </c>
      <c r="W594" s="26"/>
      <c r="X594" s="26"/>
      <c r="Y594" s="720"/>
      <c r="Z594" s="721"/>
      <c r="AA594" s="722"/>
      <c r="AB594" s="723"/>
    </row>
    <row r="595" spans="1:36" s="724" customFormat="1" ht="15">
      <c r="A595" s="717"/>
      <c r="B595" s="718"/>
      <c r="C595" s="79" t="s">
        <v>1023</v>
      </c>
      <c r="D595" s="962">
        <v>0</v>
      </c>
      <c r="E595" s="963" t="s">
        <v>68</v>
      </c>
      <c r="F595" s="964">
        <v>0</v>
      </c>
      <c r="G595" s="962">
        <v>6</v>
      </c>
      <c r="H595" s="963" t="s">
        <v>68</v>
      </c>
      <c r="I595" s="964">
        <v>9</v>
      </c>
      <c r="J595" s="77" t="s">
        <v>906</v>
      </c>
      <c r="K595" s="215"/>
      <c r="L595" s="134"/>
      <c r="M595" s="136"/>
      <c r="N595" s="501"/>
      <c r="O595" s="135"/>
      <c r="P595" s="512"/>
      <c r="Q595" s="512"/>
      <c r="R595" s="508">
        <v>1</v>
      </c>
      <c r="S595" s="512" t="s">
        <v>711</v>
      </c>
      <c r="T595" s="262" t="s">
        <v>90</v>
      </c>
      <c r="U595" s="39"/>
      <c r="V595" s="1314">
        <f>V596</f>
        <v>1</v>
      </c>
      <c r="W595" s="26"/>
      <c r="X595" s="26"/>
      <c r="Y595" s="720"/>
      <c r="Z595" s="721"/>
      <c r="AA595" s="722"/>
      <c r="AB595" s="723"/>
    </row>
    <row r="596" spans="1:36" s="724" customFormat="1" ht="15">
      <c r="A596" s="717"/>
      <c r="B596" s="1065"/>
      <c r="C596" s="896"/>
      <c r="D596" s="926"/>
      <c r="E596" s="898"/>
      <c r="F596" s="927"/>
      <c r="G596" s="926"/>
      <c r="H596" s="898"/>
      <c r="I596" s="927"/>
      <c r="J596" s="913"/>
      <c r="K596" s="945"/>
      <c r="L596" s="945"/>
      <c r="M596" s="946"/>
      <c r="N596" s="945"/>
      <c r="O596" s="953"/>
      <c r="P596" s="945"/>
      <c r="Q596" s="1046"/>
      <c r="R596" s="903"/>
      <c r="S596" s="949"/>
      <c r="T596" s="950"/>
      <c r="U596" s="158"/>
      <c r="V596" s="1314">
        <f t="shared" si="68"/>
        <v>1</v>
      </c>
      <c r="W596" s="26"/>
      <c r="X596" s="26"/>
      <c r="Y596" s="720"/>
      <c r="Z596" s="721"/>
      <c r="AA596" s="722"/>
      <c r="AB596" s="723"/>
    </row>
    <row r="597" spans="1:36" s="8" customFormat="1" ht="15.75" customHeight="1">
      <c r="A597" s="516"/>
      <c r="B597" s="877"/>
      <c r="C597" s="113"/>
      <c r="D597" s="2436" t="s">
        <v>18</v>
      </c>
      <c r="E597" s="2437"/>
      <c r="F597" s="2437"/>
      <c r="G597" s="2437"/>
      <c r="H597" s="2437"/>
      <c r="I597" s="2438"/>
      <c r="J597" s="2439">
        <f>VLOOKUP(A599,'12 - FINANCEIRA'!_xlnm.Print_Area,6,FALSE)</f>
        <v>3</v>
      </c>
      <c r="K597" s="2440"/>
      <c r="L597" s="910" t="str">
        <f>VLOOKUP(A599,'12 - FINANCEIRA'!_xlnm.Print_Area,4,FALSE)</f>
        <v>mês</v>
      </c>
      <c r="M597" s="2441" t="s">
        <v>19</v>
      </c>
      <c r="N597" s="2442"/>
      <c r="O597" s="2442"/>
      <c r="P597" s="2442"/>
      <c r="Q597" s="2443"/>
      <c r="R597" s="904">
        <f>SUM(R593:R596)</f>
        <v>2.33</v>
      </c>
      <c r="S597" s="905" t="str">
        <f>L597</f>
        <v>mês</v>
      </c>
      <c r="T597" s="680"/>
      <c r="U597" s="663"/>
      <c r="V597" s="1314">
        <f>V598</f>
        <v>1</v>
      </c>
      <c r="AB597" s="15"/>
    </row>
    <row r="598" spans="1:36" s="8" customFormat="1" ht="15.75" customHeight="1">
      <c r="A598" s="516"/>
      <c r="B598" s="877"/>
      <c r="C598" s="681"/>
      <c r="D598" s="2444" t="s">
        <v>20</v>
      </c>
      <c r="E598" s="2445"/>
      <c r="F598" s="2445"/>
      <c r="G598" s="2445"/>
      <c r="H598" s="2445"/>
      <c r="I598" s="2446"/>
      <c r="J598" s="2450">
        <f>R597/J597</f>
        <v>0.77666666666666673</v>
      </c>
      <c r="K598" s="2451"/>
      <c r="L598" s="2454"/>
      <c r="M598" s="2441" t="s">
        <v>21</v>
      </c>
      <c r="N598" s="2442"/>
      <c r="O598" s="2442"/>
      <c r="P598" s="2442"/>
      <c r="Q598" s="2443"/>
      <c r="R598" s="878">
        <f>VLOOKUP(A599,'12 - FINANCEIRA'!_xlnm.Print_Area,8,FALSE)</f>
        <v>1.33</v>
      </c>
      <c r="S598" s="879" t="str">
        <f>L597</f>
        <v>mês</v>
      </c>
      <c r="T598" s="680"/>
      <c r="U598" s="663"/>
      <c r="V598" s="1314">
        <f>V599</f>
        <v>1</v>
      </c>
      <c r="AB598" s="15"/>
    </row>
    <row r="599" spans="1:36" s="8" customFormat="1" ht="15.75" customHeight="1">
      <c r="A599" s="516" t="s">
        <v>678</v>
      </c>
      <c r="B599" s="877"/>
      <c r="C599" s="113"/>
      <c r="D599" s="2475"/>
      <c r="E599" s="2460"/>
      <c r="F599" s="2460"/>
      <c r="G599" s="2460"/>
      <c r="H599" s="2460"/>
      <c r="I599" s="2476"/>
      <c r="J599" s="2477"/>
      <c r="K599" s="2478"/>
      <c r="L599" s="2470"/>
      <c r="M599" s="2441" t="s">
        <v>22</v>
      </c>
      <c r="N599" s="2442"/>
      <c r="O599" s="2442"/>
      <c r="P599" s="2442"/>
      <c r="Q599" s="2443"/>
      <c r="R599" s="521">
        <f>R597-R598</f>
        <v>1</v>
      </c>
      <c r="S599" s="522" t="str">
        <f>L597</f>
        <v>mês</v>
      </c>
      <c r="T599" s="680"/>
      <c r="U599" s="663"/>
      <c r="V599" s="1314">
        <f>R599</f>
        <v>1</v>
      </c>
      <c r="AB599" s="15"/>
    </row>
    <row r="600" spans="1:36" s="8" customFormat="1" ht="15.75">
      <c r="A600" s="516"/>
      <c r="B600" s="523"/>
      <c r="C600" s="524"/>
      <c r="D600" s="526"/>
      <c r="E600" s="526"/>
      <c r="F600" s="526"/>
      <c r="G600" s="525"/>
      <c r="H600" s="525"/>
      <c r="I600" s="525"/>
      <c r="J600" s="527"/>
      <c r="K600" s="528"/>
      <c r="L600" s="529"/>
      <c r="M600" s="530"/>
      <c r="N600" s="530"/>
      <c r="O600" s="530"/>
      <c r="P600" s="530"/>
      <c r="Q600" s="530"/>
      <c r="R600" s="531"/>
      <c r="S600" s="532"/>
      <c r="T600" s="533"/>
      <c r="U600" s="534"/>
      <c r="V600" s="1658">
        <f>SUM(V591:V599)</f>
        <v>9</v>
      </c>
      <c r="AB600" s="15"/>
    </row>
    <row r="601" spans="1:36" s="497" customFormat="1" ht="15.75" customHeight="1">
      <c r="A601" s="495"/>
      <c r="B601" s="2423" t="str">
        <f>VLOOKUP(A613,'12 - FINANCEIRA'!_xlnm.Print_Area,1,FALSE)</f>
        <v>2.5.13</v>
      </c>
      <c r="C601" s="2421" t="str">
        <f>VLOOKUP(A613,'12 - FINANCEIRA'!_xlnm.Print_Area,3,FALSE)</f>
        <v>Esgotamento de água com bomba submersa</v>
      </c>
      <c r="D601" s="2479" t="s">
        <v>97</v>
      </c>
      <c r="E601" s="2480"/>
      <c r="F601" s="2480"/>
      <c r="G601" s="2480"/>
      <c r="H601" s="2480"/>
      <c r="I601" s="2481"/>
      <c r="J601" s="2416" t="s">
        <v>98</v>
      </c>
      <c r="K601" s="2416" t="s">
        <v>102</v>
      </c>
      <c r="L601" s="2416" t="s">
        <v>103</v>
      </c>
      <c r="M601" s="2416" t="s">
        <v>228</v>
      </c>
      <c r="N601" s="2416" t="s">
        <v>229</v>
      </c>
      <c r="O601" s="2482" t="s">
        <v>66</v>
      </c>
      <c r="P601" s="2482" t="s">
        <v>713</v>
      </c>
      <c r="Q601" s="2482" t="s">
        <v>714</v>
      </c>
      <c r="R601" s="2425" t="s">
        <v>2</v>
      </c>
      <c r="S601" s="2416" t="s">
        <v>99</v>
      </c>
      <c r="T601" s="2416" t="s">
        <v>17</v>
      </c>
      <c r="U601" s="2428" t="s">
        <v>362</v>
      </c>
      <c r="V601" s="1314">
        <f t="shared" ref="V601:V604" si="69">V602</f>
        <v>1920</v>
      </c>
      <c r="W601" s="26"/>
      <c r="X601" s="26"/>
      <c r="Y601" s="26"/>
      <c r="Z601" s="27"/>
      <c r="AA601" s="9"/>
      <c r="AB601" s="9"/>
      <c r="AC601" s="9"/>
      <c r="AD601" s="9"/>
      <c r="AE601" s="9"/>
      <c r="AF601" s="9"/>
      <c r="AG601" s="9"/>
      <c r="AH601" s="9"/>
      <c r="AI601" s="9"/>
      <c r="AJ601" s="9"/>
    </row>
    <row r="602" spans="1:36" s="497" customFormat="1" ht="15.75">
      <c r="A602" s="495"/>
      <c r="B602" s="2424" t="e">
        <f>LEFT(#REF!,5)</f>
        <v>#REF!</v>
      </c>
      <c r="C602" s="2422" t="e">
        <f>VLOOKUP(LEFT(#REF!,5),'12 - FINANCEIRA'!_xlnm.Print_Area,2,FALSE)</f>
        <v>#REF!</v>
      </c>
      <c r="D602" s="2430" t="s">
        <v>14</v>
      </c>
      <c r="E602" s="2431"/>
      <c r="F602" s="2432"/>
      <c r="G602" s="2433" t="s">
        <v>15</v>
      </c>
      <c r="H602" s="2434"/>
      <c r="I602" s="2435"/>
      <c r="J602" s="2417"/>
      <c r="K602" s="2417"/>
      <c r="L602" s="2417"/>
      <c r="M602" s="2417"/>
      <c r="N602" s="2417"/>
      <c r="O602" s="2482"/>
      <c r="P602" s="2482"/>
      <c r="Q602" s="2482"/>
      <c r="R602" s="2473"/>
      <c r="S602" s="2417"/>
      <c r="T602" s="2417"/>
      <c r="U602" s="2474"/>
      <c r="V602" s="1314">
        <f t="shared" si="69"/>
        <v>1920</v>
      </c>
      <c r="W602" s="26"/>
      <c r="X602" s="26"/>
      <c r="Y602" s="26"/>
      <c r="Z602" s="27"/>
      <c r="AA602" s="9"/>
      <c r="AB602" s="9"/>
      <c r="AC602" s="9"/>
      <c r="AD602" s="9"/>
      <c r="AE602" s="9"/>
      <c r="AF602" s="9"/>
      <c r="AG602" s="9"/>
      <c r="AH602" s="9"/>
      <c r="AI602" s="9"/>
      <c r="AJ602" s="9"/>
    </row>
    <row r="603" spans="1:36" s="9" customFormat="1" ht="30">
      <c r="A603" s="944"/>
      <c r="B603" s="921"/>
      <c r="C603" s="1088" t="s">
        <v>1017</v>
      </c>
      <c r="D603" s="31"/>
      <c r="E603" s="32"/>
      <c r="F603" s="33"/>
      <c r="G603" s="31"/>
      <c r="H603" s="32"/>
      <c r="I603" s="33"/>
      <c r="J603" s="34"/>
      <c r="K603" s="35"/>
      <c r="L603" s="1089"/>
      <c r="M603" s="1090"/>
      <c r="N603" s="1091"/>
      <c r="O603" s="1287">
        <v>22</v>
      </c>
      <c r="P603" s="1288">
        <v>8</v>
      </c>
      <c r="Q603" s="1289">
        <v>2</v>
      </c>
      <c r="R603" s="1284">
        <f>O603*P603*Q603</f>
        <v>352</v>
      </c>
      <c r="S603" s="1290" t="s">
        <v>419</v>
      </c>
      <c r="T603" s="1291" t="s">
        <v>368</v>
      </c>
      <c r="U603" s="39" t="s">
        <v>718</v>
      </c>
      <c r="V603" s="1314">
        <f t="shared" si="69"/>
        <v>1920</v>
      </c>
      <c r="W603" s="26"/>
      <c r="X603" s="26"/>
      <c r="Y603" s="26"/>
      <c r="Z603" s="27"/>
      <c r="AA603" s="41"/>
      <c r="AB603" s="42"/>
    </row>
    <row r="604" spans="1:36" s="9" customFormat="1" ht="30">
      <c r="A604" s="944"/>
      <c r="B604" s="922"/>
      <c r="C604" s="58" t="s">
        <v>1018</v>
      </c>
      <c r="D604" s="82"/>
      <c r="E604" s="44"/>
      <c r="F604" s="83"/>
      <c r="G604" s="82"/>
      <c r="H604" s="44"/>
      <c r="I604" s="83"/>
      <c r="J604" s="46"/>
      <c r="K604" s="48"/>
      <c r="L604" s="48"/>
      <c r="M604" s="49"/>
      <c r="N604" s="211"/>
      <c r="O604" s="50">
        <v>20</v>
      </c>
      <c r="P604" s="48">
        <v>8</v>
      </c>
      <c r="Q604" s="209">
        <v>2</v>
      </c>
      <c r="R604" s="1321">
        <f>O604*P604*Q604</f>
        <v>320</v>
      </c>
      <c r="S604" s="180" t="s">
        <v>419</v>
      </c>
      <c r="T604" s="90" t="s">
        <v>80</v>
      </c>
      <c r="U604" s="39" t="s">
        <v>718</v>
      </c>
      <c r="V604" s="1314">
        <f t="shared" si="69"/>
        <v>1920</v>
      </c>
      <c r="W604" s="26"/>
      <c r="X604" s="26"/>
      <c r="Y604" s="26"/>
      <c r="Z604" s="27"/>
      <c r="AA604" s="41"/>
      <c r="AB604" s="42"/>
    </row>
    <row r="605" spans="1:36" s="507" customFormat="1" ht="30">
      <c r="A605" s="499"/>
      <c r="B605" s="500"/>
      <c r="C605" s="58" t="s">
        <v>1019</v>
      </c>
      <c r="D605" s="82"/>
      <c r="E605" s="44"/>
      <c r="F605" s="83"/>
      <c r="G605" s="82"/>
      <c r="H605" s="44"/>
      <c r="I605" s="83"/>
      <c r="J605" s="46"/>
      <c r="K605" s="48"/>
      <c r="L605" s="48"/>
      <c r="M605" s="49"/>
      <c r="N605" s="211"/>
      <c r="O605" s="1377">
        <v>22</v>
      </c>
      <c r="P605" s="48">
        <v>8</v>
      </c>
      <c r="Q605" s="180">
        <v>2</v>
      </c>
      <c r="R605" s="1321">
        <v>48</v>
      </c>
      <c r="S605" s="180" t="s">
        <v>419</v>
      </c>
      <c r="T605" s="90" t="s">
        <v>83</v>
      </c>
      <c r="U605" s="39" t="s">
        <v>718</v>
      </c>
      <c r="V605" s="1314">
        <f t="shared" ref="V605:V609" si="70">V606</f>
        <v>1920</v>
      </c>
      <c r="W605" s="26"/>
      <c r="X605" s="26"/>
      <c r="Y605" s="503"/>
      <c r="Z605" s="504"/>
      <c r="AA605" s="505"/>
      <c r="AB605" s="506"/>
    </row>
    <row r="606" spans="1:36" s="507" customFormat="1" ht="30">
      <c r="A606" s="499"/>
      <c r="B606" s="1372"/>
      <c r="C606" s="79" t="s">
        <v>1020</v>
      </c>
      <c r="D606" s="1623"/>
      <c r="E606" s="1624"/>
      <c r="F606" s="1625"/>
      <c r="G606" s="1623"/>
      <c r="H606" s="1624"/>
      <c r="I606" s="1625"/>
      <c r="J606" s="1341"/>
      <c r="K606" s="1342"/>
      <c r="L606" s="1343"/>
      <c r="M606" s="1344"/>
      <c r="N606" s="1345"/>
      <c r="O606" s="1626">
        <v>17</v>
      </c>
      <c r="P606" s="1343">
        <v>10</v>
      </c>
      <c r="Q606" s="1627">
        <v>2</v>
      </c>
      <c r="R606" s="1628">
        <f>O606*P606*Q606</f>
        <v>340</v>
      </c>
      <c r="S606" s="509" t="s">
        <v>419</v>
      </c>
      <c r="T606" s="1367" t="s">
        <v>90</v>
      </c>
      <c r="U606" s="212" t="s">
        <v>718</v>
      </c>
      <c r="V606" s="1314">
        <f t="shared" si="70"/>
        <v>1920</v>
      </c>
      <c r="W606" s="26"/>
      <c r="X606" s="26"/>
      <c r="Y606" s="503"/>
      <c r="Z606" s="504"/>
      <c r="AA606" s="505"/>
      <c r="AB606" s="506"/>
    </row>
    <row r="607" spans="1:36" s="507" customFormat="1" ht="30">
      <c r="A607" s="499"/>
      <c r="B607" s="1372"/>
      <c r="C607" s="79" t="s">
        <v>1021</v>
      </c>
      <c r="D607" s="1623"/>
      <c r="E607" s="1624"/>
      <c r="F607" s="1625"/>
      <c r="G607" s="1623"/>
      <c r="H607" s="1624"/>
      <c r="I607" s="1625"/>
      <c r="J607" s="1341"/>
      <c r="K607" s="1342"/>
      <c r="L607" s="1343"/>
      <c r="M607" s="1344"/>
      <c r="N607" s="1345"/>
      <c r="O607" s="135">
        <v>23</v>
      </c>
      <c r="P607" s="1343">
        <v>10</v>
      </c>
      <c r="Q607" s="1627">
        <v>2</v>
      </c>
      <c r="R607" s="1628">
        <f>O607*P607*Q607</f>
        <v>460</v>
      </c>
      <c r="S607" s="509" t="s">
        <v>419</v>
      </c>
      <c r="T607" s="1367" t="s">
        <v>90</v>
      </c>
      <c r="U607" s="212" t="s">
        <v>718</v>
      </c>
      <c r="V607" s="1314">
        <f t="shared" si="70"/>
        <v>1920</v>
      </c>
      <c r="W607" s="26"/>
      <c r="X607" s="26"/>
      <c r="Y607" s="503"/>
      <c r="Z607" s="504"/>
      <c r="AA607" s="505"/>
      <c r="AB607" s="506"/>
    </row>
    <row r="608" spans="1:36" s="507" customFormat="1" ht="30">
      <c r="A608" s="499"/>
      <c r="B608" s="1372"/>
      <c r="C608" s="79" t="s">
        <v>1026</v>
      </c>
      <c r="D608" s="1623"/>
      <c r="E608" s="1624"/>
      <c r="F608" s="1625"/>
      <c r="G608" s="1623"/>
      <c r="H608" s="1624"/>
      <c r="I608" s="1625"/>
      <c r="J608" s="1341"/>
      <c r="K608" s="1342"/>
      <c r="L608" s="1343"/>
      <c r="M608" s="1344"/>
      <c r="N608" s="1345"/>
      <c r="O608" s="135">
        <v>17</v>
      </c>
      <c r="P608" s="1343">
        <v>10</v>
      </c>
      <c r="Q608" s="1627">
        <v>2</v>
      </c>
      <c r="R608" s="1628">
        <f>O608*P608*Q608</f>
        <v>340</v>
      </c>
      <c r="S608" s="509" t="s">
        <v>419</v>
      </c>
      <c r="T608" s="1367" t="s">
        <v>90</v>
      </c>
      <c r="U608" s="212" t="s">
        <v>718</v>
      </c>
      <c r="V608" s="1314">
        <f t="shared" si="70"/>
        <v>1920</v>
      </c>
      <c r="W608" s="26"/>
      <c r="X608" s="26"/>
      <c r="Y608" s="503"/>
      <c r="Z608" s="504"/>
      <c r="AA608" s="505"/>
      <c r="AB608" s="506"/>
    </row>
    <row r="609" spans="1:36" s="507" customFormat="1" ht="30">
      <c r="A609" s="499"/>
      <c r="B609" s="1372"/>
      <c r="C609" s="79" t="s">
        <v>1027</v>
      </c>
      <c r="D609" s="1623"/>
      <c r="E609" s="1624"/>
      <c r="F609" s="1625"/>
      <c r="G609" s="1623"/>
      <c r="H609" s="1624"/>
      <c r="I609" s="1625"/>
      <c r="J609" s="1341"/>
      <c r="K609" s="1342"/>
      <c r="L609" s="1343"/>
      <c r="M609" s="1344"/>
      <c r="N609" s="1345"/>
      <c r="O609" s="1346">
        <v>21</v>
      </c>
      <c r="P609" s="1343">
        <v>10</v>
      </c>
      <c r="Q609" s="1627">
        <v>2</v>
      </c>
      <c r="R609" s="1628">
        <f t="shared" ref="R609:R610" si="71">O609*P609*Q609</f>
        <v>420</v>
      </c>
      <c r="S609" s="509" t="s">
        <v>419</v>
      </c>
      <c r="T609" s="1367" t="s">
        <v>90</v>
      </c>
      <c r="U609" s="212" t="s">
        <v>718</v>
      </c>
      <c r="V609" s="1314">
        <f t="shared" si="70"/>
        <v>1920</v>
      </c>
      <c r="W609" s="26"/>
      <c r="X609" s="26"/>
      <c r="Y609" s="503"/>
      <c r="Z609" s="504"/>
      <c r="AA609" s="505"/>
      <c r="AB609" s="506"/>
    </row>
    <row r="610" spans="1:36" s="507" customFormat="1" ht="30">
      <c r="A610" s="499"/>
      <c r="B610" s="1045"/>
      <c r="C610" s="127" t="s">
        <v>1022</v>
      </c>
      <c r="D610" s="957"/>
      <c r="E610" s="125"/>
      <c r="F610" s="958"/>
      <c r="G610" s="957"/>
      <c r="H610" s="125"/>
      <c r="I610" s="958"/>
      <c r="J610" s="123"/>
      <c r="K610" s="122"/>
      <c r="L610" s="119"/>
      <c r="M610" s="121"/>
      <c r="N610" s="1758"/>
      <c r="O610" s="120">
        <v>20</v>
      </c>
      <c r="P610" s="119">
        <v>9</v>
      </c>
      <c r="Q610" s="246">
        <v>2</v>
      </c>
      <c r="R610" s="1726">
        <f t="shared" si="71"/>
        <v>360</v>
      </c>
      <c r="S610" s="959" t="s">
        <v>419</v>
      </c>
      <c r="T610" s="960" t="s">
        <v>90</v>
      </c>
      <c r="U610" s="1736" t="s">
        <v>718</v>
      </c>
      <c r="V610" s="1314">
        <f t="shared" ref="V610:V612" si="72">V611</f>
        <v>1920</v>
      </c>
      <c r="W610" s="26"/>
      <c r="X610" s="26"/>
      <c r="Y610" s="503"/>
      <c r="Z610" s="504"/>
      <c r="AA610" s="505"/>
      <c r="AB610" s="506"/>
    </row>
    <row r="611" spans="1:36" s="8" customFormat="1" ht="15.75" customHeight="1">
      <c r="A611" s="516"/>
      <c r="B611" s="877"/>
      <c r="C611" s="113"/>
      <c r="D611" s="2459" t="s">
        <v>18</v>
      </c>
      <c r="E611" s="2460"/>
      <c r="F611" s="2460"/>
      <c r="G611" s="2460"/>
      <c r="H611" s="2460"/>
      <c r="I611" s="2461"/>
      <c r="J611" s="2462">
        <f>VLOOKUP(A613,'12 - FINANCEIRA'!_xlnm.Print_Area,6,FALSE)</f>
        <v>2640</v>
      </c>
      <c r="K611" s="2463"/>
      <c r="L611" s="1744" t="str">
        <f>VLOOKUP(A613,'12 - FINANCEIRA'!_xlnm.Print_Area,4,FALSE)</f>
        <v>h</v>
      </c>
      <c r="M611" s="2464" t="s">
        <v>19</v>
      </c>
      <c r="N611" s="2465"/>
      <c r="O611" s="2465"/>
      <c r="P611" s="2465"/>
      <c r="Q611" s="2466"/>
      <c r="R611" s="1154">
        <f>SUM(R603:R610)</f>
        <v>2640</v>
      </c>
      <c r="S611" s="1745" t="str">
        <f>L611</f>
        <v>h</v>
      </c>
      <c r="T611" s="680"/>
      <c r="U611" s="663"/>
      <c r="V611" s="1314">
        <f t="shared" si="72"/>
        <v>1920</v>
      </c>
      <c r="AB611" s="15"/>
    </row>
    <row r="612" spans="1:36" s="8" customFormat="1" ht="15.75" customHeight="1">
      <c r="A612" s="516"/>
      <c r="B612" s="877"/>
      <c r="C612" s="681"/>
      <c r="D612" s="2444" t="s">
        <v>20</v>
      </c>
      <c r="E612" s="2445"/>
      <c r="F612" s="2445"/>
      <c r="G612" s="2445"/>
      <c r="H612" s="2445"/>
      <c r="I612" s="2446"/>
      <c r="J612" s="2450">
        <f>R611/J611</f>
        <v>1</v>
      </c>
      <c r="K612" s="2451"/>
      <c r="L612" s="2454"/>
      <c r="M612" s="2441" t="s">
        <v>21</v>
      </c>
      <c r="N612" s="2442"/>
      <c r="O612" s="2442"/>
      <c r="P612" s="2442"/>
      <c r="Q612" s="2443"/>
      <c r="R612" s="878">
        <f>VLOOKUP(A613,'12 - FINANCEIRA'!_xlnm.Print_Area,8,FALSE)</f>
        <v>720</v>
      </c>
      <c r="S612" s="879" t="str">
        <f>L611</f>
        <v>h</v>
      </c>
      <c r="T612" s="680"/>
      <c r="U612" s="663"/>
      <c r="V612" s="1314">
        <f t="shared" si="72"/>
        <v>1920</v>
      </c>
      <c r="AB612" s="15"/>
    </row>
    <row r="613" spans="1:36" s="8" customFormat="1" ht="15.75" customHeight="1">
      <c r="A613" s="516" t="s">
        <v>679</v>
      </c>
      <c r="B613" s="877"/>
      <c r="C613" s="113"/>
      <c r="D613" s="2475"/>
      <c r="E613" s="2460"/>
      <c r="F613" s="2460"/>
      <c r="G613" s="2460"/>
      <c r="H613" s="2460"/>
      <c r="I613" s="2476"/>
      <c r="J613" s="2477"/>
      <c r="K613" s="2478"/>
      <c r="L613" s="2470"/>
      <c r="M613" s="2441" t="s">
        <v>22</v>
      </c>
      <c r="N613" s="2442"/>
      <c r="O613" s="2442"/>
      <c r="P613" s="2442"/>
      <c r="Q613" s="2443"/>
      <c r="R613" s="521">
        <f>R611-R612</f>
        <v>1920</v>
      </c>
      <c r="S613" s="522" t="str">
        <f>L611</f>
        <v>h</v>
      </c>
      <c r="T613" s="680"/>
      <c r="U613" s="663"/>
      <c r="V613" s="1314">
        <f>R613</f>
        <v>1920</v>
      </c>
      <c r="AB613" s="15"/>
    </row>
    <row r="614" spans="1:36" s="8" customFormat="1" ht="15.75">
      <c r="A614" s="516"/>
      <c r="B614" s="523"/>
      <c r="C614" s="524"/>
      <c r="D614" s="526"/>
      <c r="E614" s="526"/>
      <c r="F614" s="526"/>
      <c r="G614" s="525"/>
      <c r="H614" s="525"/>
      <c r="I614" s="525"/>
      <c r="J614" s="527"/>
      <c r="K614" s="528"/>
      <c r="L614" s="529"/>
      <c r="M614" s="530"/>
      <c r="N614" s="530"/>
      <c r="O614" s="530"/>
      <c r="P614" s="530"/>
      <c r="Q614" s="530"/>
      <c r="R614" s="531"/>
      <c r="S614" s="532"/>
      <c r="T614" s="533"/>
      <c r="U614" s="534"/>
      <c r="V614" s="1658">
        <f>SUM(V601:V613)</f>
        <v>24960</v>
      </c>
      <c r="AB614" s="15"/>
    </row>
    <row r="615" spans="1:36" ht="15.75" hidden="1">
      <c r="A615" s="942"/>
      <c r="B615" s="482">
        <v>3</v>
      </c>
      <c r="C615" s="483" t="str">
        <f>VLOOKUP(B615,'12 - FINANCEIRA'!_xlnm.Print_Area,2,FALSE)</f>
        <v>SERVIÇOS NOVOS</v>
      </c>
      <c r="D615" s="484"/>
      <c r="E615" s="484"/>
      <c r="F615" s="484"/>
      <c r="G615" s="2551"/>
      <c r="H615" s="2552"/>
      <c r="I615" s="2552"/>
      <c r="J615" s="2552"/>
      <c r="K615" s="2552"/>
      <c r="L615" s="2552"/>
      <c r="M615" s="485"/>
      <c r="N615" s="486"/>
      <c r="O615" s="486"/>
      <c r="P615" s="486"/>
      <c r="Q615" s="486"/>
      <c r="R615" s="486"/>
      <c r="S615" s="486"/>
      <c r="T615" s="486"/>
      <c r="U615" s="682"/>
      <c r="V615" s="538">
        <f>SUM(V616:V873)</f>
        <v>174317.01999999964</v>
      </c>
    </row>
    <row r="616" spans="1:36" s="494" customFormat="1" ht="15.75">
      <c r="A616" s="943"/>
      <c r="B616" s="489" t="s">
        <v>948</v>
      </c>
      <c r="C616" s="490" t="str">
        <f>VLOOKUP(B616,'12 - FINANCEIRA'!_xlnm.Print_Area,2,FALSE)</f>
        <v>IMPLANTAÇÃO DO CANTEIRO DE OBRAS</v>
      </c>
      <c r="D616" s="491"/>
      <c r="E616" s="491"/>
      <c r="F616" s="491"/>
      <c r="G616" s="2492"/>
      <c r="H616" s="2493"/>
      <c r="I616" s="2493"/>
      <c r="J616" s="2493"/>
      <c r="K616" s="2493"/>
      <c r="L616" s="2493"/>
      <c r="M616" s="492"/>
      <c r="N616" s="493"/>
      <c r="O616" s="2493"/>
      <c r="P616" s="2493"/>
      <c r="Q616" s="2493"/>
      <c r="R616" s="2493"/>
      <c r="S616" s="892"/>
      <c r="U616" s="683"/>
      <c r="V616" s="487">
        <f>SUM(V617:V626)</f>
        <v>18</v>
      </c>
    </row>
    <row r="617" spans="1:36" s="497" customFormat="1" ht="15.75">
      <c r="A617" s="495"/>
      <c r="B617" s="2423" t="str">
        <f>VLOOKUP(A625,'12 - FINANCEIRA'!_xlnm.Print_Area,1,FALSE)</f>
        <v>3.1.1</v>
      </c>
      <c r="C617" s="2421" t="str">
        <f>VLOOKUP(A625,'12 - FINANCEIRA'!_xlnm.Print_Area,3,FALSE)</f>
        <v>Elaboração de PGR (Programa de Gerenciamento de Resíduos)</v>
      </c>
      <c r="D617" s="2479" t="s">
        <v>97</v>
      </c>
      <c r="E617" s="2480"/>
      <c r="F617" s="2480"/>
      <c r="G617" s="2480"/>
      <c r="H617" s="2480"/>
      <c r="I617" s="2481"/>
      <c r="J617" s="2416" t="s">
        <v>98</v>
      </c>
      <c r="K617" s="2416" t="s">
        <v>102</v>
      </c>
      <c r="L617" s="2416" t="s">
        <v>103</v>
      </c>
      <c r="M617" s="2416" t="s">
        <v>228</v>
      </c>
      <c r="N617" s="2416" t="s">
        <v>229</v>
      </c>
      <c r="O617" s="2416" t="s">
        <v>107</v>
      </c>
      <c r="P617" s="496" t="s">
        <v>153</v>
      </c>
      <c r="Q617" s="2416" t="s">
        <v>16</v>
      </c>
      <c r="R617" s="2425" t="s">
        <v>2</v>
      </c>
      <c r="S617" s="2416" t="s">
        <v>99</v>
      </c>
      <c r="T617" s="2416" t="s">
        <v>17</v>
      </c>
      <c r="U617" s="2428" t="s">
        <v>362</v>
      </c>
      <c r="V617" s="1314">
        <f>V618</f>
        <v>1</v>
      </c>
      <c r="W617" s="26"/>
      <c r="X617" s="26"/>
      <c r="Y617" s="26"/>
      <c r="Z617" s="27"/>
      <c r="AA617" s="9"/>
      <c r="AB617" s="9"/>
      <c r="AC617" s="9"/>
      <c r="AD617" s="9"/>
      <c r="AE617" s="9"/>
      <c r="AF617" s="9"/>
      <c r="AG617" s="9"/>
      <c r="AH617" s="9"/>
      <c r="AI617" s="9"/>
      <c r="AJ617" s="9"/>
    </row>
    <row r="618" spans="1:36" s="497" customFormat="1" ht="15.75">
      <c r="A618" s="495"/>
      <c r="B618" s="2471" t="e">
        <f>LEFT(#REF!,5)</f>
        <v>#REF!</v>
      </c>
      <c r="C618" s="2472" t="e">
        <f>VLOOKUP(LEFT(#REF!,5),'12 - FINANCEIRA'!_xlnm.Print_Area,2,FALSE)</f>
        <v>#REF!</v>
      </c>
      <c r="D618" s="2430" t="s">
        <v>14</v>
      </c>
      <c r="E618" s="2431"/>
      <c r="F618" s="2432"/>
      <c r="G618" s="2433" t="s">
        <v>15</v>
      </c>
      <c r="H618" s="2434"/>
      <c r="I618" s="2435"/>
      <c r="J618" s="2427"/>
      <c r="K618" s="2427"/>
      <c r="L618" s="2427"/>
      <c r="M618" s="2427"/>
      <c r="N618" s="2427"/>
      <c r="O618" s="2427"/>
      <c r="P618" s="498" t="s">
        <v>104</v>
      </c>
      <c r="Q618" s="2427"/>
      <c r="R618" s="2426"/>
      <c r="S618" s="2427"/>
      <c r="T618" s="2427"/>
      <c r="U618" s="2429"/>
      <c r="V618" s="1314">
        <f>V619</f>
        <v>1</v>
      </c>
      <c r="W618" s="26"/>
      <c r="X618" s="26"/>
      <c r="Y618" s="26"/>
      <c r="Z618" s="27"/>
      <c r="AA618" s="9"/>
      <c r="AB618" s="9"/>
      <c r="AC618" s="9"/>
      <c r="AD618" s="9"/>
      <c r="AE618" s="9"/>
      <c r="AF618" s="9"/>
      <c r="AG618" s="9"/>
      <c r="AH618" s="9"/>
      <c r="AI618" s="9"/>
      <c r="AJ618" s="9"/>
    </row>
    <row r="619" spans="1:36" s="9" customFormat="1" ht="15">
      <c r="A619" s="944"/>
      <c r="B619" s="921"/>
      <c r="C619" s="1602" t="s">
        <v>1000</v>
      </c>
      <c r="D619" s="156"/>
      <c r="E619" s="86"/>
      <c r="F619" s="155"/>
      <c r="G619" s="85"/>
      <c r="H619" s="86"/>
      <c r="I619" s="87"/>
      <c r="J619" s="1528"/>
      <c r="K619" s="1529"/>
      <c r="L619" s="1603"/>
      <c r="M619" s="1604"/>
      <c r="N619" s="1605"/>
      <c r="O619" s="1601"/>
      <c r="P619" s="1603"/>
      <c r="Q619" s="1606"/>
      <c r="R619" s="1607">
        <v>1</v>
      </c>
      <c r="S619" s="1608" t="s">
        <v>101</v>
      </c>
      <c r="T619" s="1609" t="s">
        <v>90</v>
      </c>
      <c r="U619" s="1610" t="s">
        <v>1031</v>
      </c>
      <c r="V619" s="1314">
        <f>V620</f>
        <v>1</v>
      </c>
      <c r="W619" s="26"/>
      <c r="X619" s="26"/>
      <c r="Y619" s="26"/>
      <c r="Z619" s="27"/>
      <c r="AA619" s="41"/>
      <c r="AB619" s="42"/>
    </row>
    <row r="620" spans="1:36" s="9" customFormat="1" ht="15">
      <c r="A620" s="944"/>
      <c r="B620" s="922"/>
      <c r="C620" s="1516"/>
      <c r="D620" s="82"/>
      <c r="E620" s="44"/>
      <c r="F620" s="83"/>
      <c r="G620" s="43"/>
      <c r="H620" s="44"/>
      <c r="I620" s="45"/>
      <c r="J620" s="1401"/>
      <c r="K620" s="1517"/>
      <c r="L620" s="1518"/>
      <c r="M620" s="1519"/>
      <c r="N620" s="1520"/>
      <c r="O620" s="1521"/>
      <c r="P620" s="1522"/>
      <c r="Q620" s="1523"/>
      <c r="R620" s="1524"/>
      <c r="S620" s="1525"/>
      <c r="T620" s="1526"/>
      <c r="U620" s="1527"/>
      <c r="V620" s="1314">
        <f>V621</f>
        <v>1</v>
      </c>
      <c r="W620" s="26"/>
      <c r="X620" s="26"/>
      <c r="Y620" s="26"/>
      <c r="Z620" s="27"/>
      <c r="AA620" s="41"/>
      <c r="AB620" s="42"/>
    </row>
    <row r="621" spans="1:36" s="9" customFormat="1" ht="15">
      <c r="A621" s="944"/>
      <c r="B621" s="922"/>
      <c r="C621" s="1516"/>
      <c r="D621" s="82"/>
      <c r="E621" s="44"/>
      <c r="F621" s="83"/>
      <c r="G621" s="43"/>
      <c r="H621" s="44"/>
      <c r="I621" s="45"/>
      <c r="J621" s="1401"/>
      <c r="K621" s="1517"/>
      <c r="L621" s="1518"/>
      <c r="M621" s="1519"/>
      <c r="N621" s="1520"/>
      <c r="O621" s="1521"/>
      <c r="P621" s="1522"/>
      <c r="Q621" s="1523"/>
      <c r="R621" s="1524"/>
      <c r="S621" s="1525"/>
      <c r="T621" s="1526"/>
      <c r="U621" s="1527"/>
      <c r="V621" s="1314">
        <f t="shared" ref="V621:V622" si="73">V622</f>
        <v>1</v>
      </c>
      <c r="W621" s="26"/>
      <c r="X621" s="26"/>
      <c r="Y621" s="26"/>
      <c r="Z621" s="27"/>
      <c r="AA621" s="41"/>
      <c r="AB621" s="42"/>
    </row>
    <row r="622" spans="1:36" s="8" customFormat="1" ht="15">
      <c r="A622" s="516"/>
      <c r="B622" s="59"/>
      <c r="C622" s="60"/>
      <c r="D622" s="82"/>
      <c r="E622" s="44"/>
      <c r="F622" s="83"/>
      <c r="G622" s="43"/>
      <c r="H622" s="44"/>
      <c r="I622" s="45"/>
      <c r="J622" s="46"/>
      <c r="K622" s="47"/>
      <c r="L622" s="48"/>
      <c r="M622" s="49"/>
      <c r="N622" s="50"/>
      <c r="O622" s="50"/>
      <c r="P622" s="48"/>
      <c r="Q622" s="53"/>
      <c r="R622" s="517"/>
      <c r="S622" s="54"/>
      <c r="T622" s="518"/>
      <c r="U622" s="71"/>
      <c r="V622" s="1314">
        <f t="shared" si="73"/>
        <v>1</v>
      </c>
      <c r="AB622" s="15"/>
    </row>
    <row r="623" spans="1:36" s="8" customFormat="1" ht="15.75">
      <c r="A623" s="516"/>
      <c r="B623" s="877"/>
      <c r="C623" s="113"/>
      <c r="D623" s="2436" t="s">
        <v>18</v>
      </c>
      <c r="E623" s="2437"/>
      <c r="F623" s="2437"/>
      <c r="G623" s="2437"/>
      <c r="H623" s="2437"/>
      <c r="I623" s="2438"/>
      <c r="J623" s="2439">
        <f>VLOOKUP(A625,'12 - FINANCEIRA'!_xlnm.Print_Area,6,FALSE)</f>
        <v>1</v>
      </c>
      <c r="K623" s="2440"/>
      <c r="L623" s="519" t="str">
        <f>VLOOKUP(A625,'12 - FINANCEIRA'!_xlnm.Print_Area,4,FALSE)</f>
        <v>und</v>
      </c>
      <c r="M623" s="2441" t="s">
        <v>19</v>
      </c>
      <c r="N623" s="2442"/>
      <c r="O623" s="2442"/>
      <c r="P623" s="2442"/>
      <c r="Q623" s="2443"/>
      <c r="R623" s="878">
        <f>SUM(R619:R622)</f>
        <v>1</v>
      </c>
      <c r="S623" s="520" t="str">
        <f>L623</f>
        <v>und</v>
      </c>
      <c r="T623" s="680"/>
      <c r="U623" s="663"/>
      <c r="V623" s="1314">
        <f>V624</f>
        <v>1</v>
      </c>
      <c r="AB623" s="15"/>
    </row>
    <row r="624" spans="1:36" s="8" customFormat="1" ht="15.75">
      <c r="A624" s="516"/>
      <c r="B624" s="877"/>
      <c r="C624" s="681"/>
      <c r="D624" s="2444" t="s">
        <v>20</v>
      </c>
      <c r="E624" s="2445"/>
      <c r="F624" s="2445"/>
      <c r="G624" s="2445"/>
      <c r="H624" s="2445"/>
      <c r="I624" s="2446"/>
      <c r="J624" s="2450">
        <f>R623/J623</f>
        <v>1</v>
      </c>
      <c r="K624" s="2451"/>
      <c r="L624" s="2454"/>
      <c r="M624" s="2441" t="s">
        <v>21</v>
      </c>
      <c r="N624" s="2442"/>
      <c r="O624" s="2442"/>
      <c r="P624" s="2442"/>
      <c r="Q624" s="2443"/>
      <c r="R624" s="878">
        <f>VLOOKUP(A625,'12 - FINANCEIRA'!_xlnm.Print_Area,8,FALSE)</f>
        <v>0</v>
      </c>
      <c r="S624" s="879" t="str">
        <f>L623</f>
        <v>und</v>
      </c>
      <c r="T624" s="680"/>
      <c r="U624" s="663"/>
      <c r="V624" s="1314">
        <f>V625</f>
        <v>1</v>
      </c>
      <c r="AB624" s="15"/>
    </row>
    <row r="625" spans="1:36" s="8" customFormat="1" ht="15.75">
      <c r="A625" s="516" t="s">
        <v>949</v>
      </c>
      <c r="B625" s="877"/>
      <c r="C625" s="113"/>
      <c r="D625" s="2447"/>
      <c r="E625" s="2448"/>
      <c r="F625" s="2448"/>
      <c r="G625" s="2448"/>
      <c r="H625" s="2448"/>
      <c r="I625" s="2449"/>
      <c r="J625" s="2452"/>
      <c r="K625" s="2453"/>
      <c r="L625" s="2455"/>
      <c r="M625" s="2456" t="s">
        <v>22</v>
      </c>
      <c r="N625" s="2457"/>
      <c r="O625" s="2457"/>
      <c r="P625" s="2457"/>
      <c r="Q625" s="2458"/>
      <c r="R625" s="521">
        <f>R623-R624</f>
        <v>1</v>
      </c>
      <c r="S625" s="522" t="str">
        <f>L623</f>
        <v>und</v>
      </c>
      <c r="T625" s="680"/>
      <c r="U625" s="663"/>
      <c r="V625" s="1314">
        <f>R625</f>
        <v>1</v>
      </c>
      <c r="AB625" s="15"/>
    </row>
    <row r="626" spans="1:36" s="8" customFormat="1" ht="15.75">
      <c r="A626" s="516"/>
      <c r="B626" s="523"/>
      <c r="C626" s="524"/>
      <c r="D626" s="526"/>
      <c r="E626" s="526"/>
      <c r="F626" s="526"/>
      <c r="G626" s="525"/>
      <c r="H626" s="525"/>
      <c r="I626" s="525"/>
      <c r="J626" s="527"/>
      <c r="K626" s="528"/>
      <c r="L626" s="529"/>
      <c r="M626" s="530"/>
      <c r="N626" s="530"/>
      <c r="O626" s="530"/>
      <c r="P626" s="530"/>
      <c r="Q626" s="530"/>
      <c r="R626" s="531"/>
      <c r="S626" s="532"/>
      <c r="T626" s="533"/>
      <c r="U626" s="534"/>
      <c r="V626" s="1658">
        <f>SUM(V617:V625)</f>
        <v>9</v>
      </c>
      <c r="AB626" s="15"/>
    </row>
    <row r="627" spans="1:36" s="494" customFormat="1" ht="15.75" hidden="1">
      <c r="A627" s="943"/>
      <c r="B627" s="489" t="s">
        <v>951</v>
      </c>
      <c r="C627" s="490" t="str">
        <f>VLOOKUP(B627,'12 - FINANCEIRA'!_xlnm.Print_Area,2,FALSE)</f>
        <v>GALERIA GUARANHUS 1 E 2</v>
      </c>
      <c r="D627" s="491"/>
      <c r="E627" s="491"/>
      <c r="F627" s="491"/>
      <c r="G627" s="2492"/>
      <c r="H627" s="2493"/>
      <c r="I627" s="2493"/>
      <c r="J627" s="2493"/>
      <c r="K627" s="2493"/>
      <c r="L627" s="2493"/>
      <c r="M627" s="492"/>
      <c r="N627" s="493"/>
      <c r="O627" s="2493"/>
      <c r="P627" s="2493"/>
      <c r="Q627" s="2493"/>
      <c r="R627" s="2493"/>
      <c r="S627" s="892"/>
      <c r="T627" s="906"/>
      <c r="U627" s="907"/>
      <c r="V627" s="487">
        <f>SUM(V628:V873)</f>
        <v>87140.509999999835</v>
      </c>
    </row>
    <row r="628" spans="1:36" s="497" customFormat="1" ht="15.75" customHeight="1">
      <c r="A628" s="495"/>
      <c r="B628" s="2423" t="str">
        <f>VLOOKUP(A642,'12 - FINANCEIRA'!_xlnm.Print_Area,1,FALSE)</f>
        <v>3.2.1</v>
      </c>
      <c r="C628" s="2421" t="str">
        <f>VLOOKUP(A642,'12 - FINANCEIRA'!_xlnm.Print_Area,3,FALSE)</f>
        <v>Elementos de madeira para sinalização - cavaletes</v>
      </c>
      <c r="D628" s="2479" t="s">
        <v>97</v>
      </c>
      <c r="E628" s="2480"/>
      <c r="F628" s="2480"/>
      <c r="G628" s="2480"/>
      <c r="H628" s="2480"/>
      <c r="I628" s="2481"/>
      <c r="J628" s="2416" t="s">
        <v>98</v>
      </c>
      <c r="K628" s="2416" t="s">
        <v>102</v>
      </c>
      <c r="L628" s="2416" t="s">
        <v>103</v>
      </c>
      <c r="M628" s="2416" t="s">
        <v>228</v>
      </c>
      <c r="N628" s="2416" t="s">
        <v>229</v>
      </c>
      <c r="O628" s="2416" t="s">
        <v>107</v>
      </c>
      <c r="P628" s="2416" t="s">
        <v>16</v>
      </c>
      <c r="Q628" s="2425" t="s">
        <v>2</v>
      </c>
      <c r="R628" s="2425" t="s">
        <v>2</v>
      </c>
      <c r="S628" s="2416" t="s">
        <v>99</v>
      </c>
      <c r="T628" s="2416" t="s">
        <v>17</v>
      </c>
      <c r="U628" s="2428" t="s">
        <v>362</v>
      </c>
      <c r="V628" s="1314">
        <f t="shared" ref="V628:V639" si="74">V629</f>
        <v>23</v>
      </c>
      <c r="W628" s="26"/>
      <c r="X628" s="26"/>
      <c r="Y628" s="26"/>
      <c r="Z628" s="27"/>
      <c r="AA628" s="9"/>
      <c r="AB628" s="9"/>
      <c r="AC628" s="9"/>
      <c r="AD628" s="9"/>
      <c r="AE628" s="9"/>
      <c r="AF628" s="9"/>
      <c r="AG628" s="9"/>
      <c r="AH628" s="9"/>
      <c r="AI628" s="9"/>
      <c r="AJ628" s="9"/>
    </row>
    <row r="629" spans="1:36" s="497" customFormat="1" ht="15.75">
      <c r="A629" s="495"/>
      <c r="B629" s="2471" t="e">
        <f>LEFT(#REF!,5)</f>
        <v>#REF!</v>
      </c>
      <c r="C629" s="2472" t="e">
        <f>VLOOKUP(LEFT(#REF!,5),'12 - FINANCEIRA'!_xlnm.Print_Area,2,FALSE)</f>
        <v>#REF!</v>
      </c>
      <c r="D629" s="2430" t="s">
        <v>14</v>
      </c>
      <c r="E629" s="2431"/>
      <c r="F629" s="2432"/>
      <c r="G629" s="2433" t="s">
        <v>15</v>
      </c>
      <c r="H629" s="2434"/>
      <c r="I629" s="2435"/>
      <c r="J629" s="2427"/>
      <c r="K629" s="2427"/>
      <c r="L629" s="2427"/>
      <c r="M629" s="2427"/>
      <c r="N629" s="2427"/>
      <c r="O629" s="2427"/>
      <c r="P629" s="2427"/>
      <c r="Q629" s="2426"/>
      <c r="R629" s="2426"/>
      <c r="S629" s="2427"/>
      <c r="T629" s="2427"/>
      <c r="U629" s="2429"/>
      <c r="V629" s="1314">
        <f t="shared" si="74"/>
        <v>23</v>
      </c>
      <c r="W629" s="26"/>
      <c r="X629" s="26"/>
      <c r="Y629" s="26"/>
      <c r="Z629" s="27"/>
      <c r="AA629" s="9"/>
      <c r="AB629" s="9"/>
      <c r="AC629" s="9"/>
      <c r="AD629" s="9"/>
      <c r="AE629" s="9"/>
      <c r="AF629" s="9"/>
      <c r="AG629" s="9"/>
      <c r="AH629" s="9"/>
      <c r="AI629" s="9"/>
      <c r="AJ629" s="9"/>
    </row>
    <row r="630" spans="1:36" s="9" customFormat="1" ht="15">
      <c r="A630" s="944"/>
      <c r="B630" s="922"/>
      <c r="C630" s="79" t="s">
        <v>1032</v>
      </c>
      <c r="D630" s="156"/>
      <c r="E630" s="86"/>
      <c r="F630" s="155"/>
      <c r="G630" s="156"/>
      <c r="H630" s="86"/>
      <c r="I630" s="155"/>
      <c r="J630" s="138" t="s">
        <v>105</v>
      </c>
      <c r="K630" s="137"/>
      <c r="L630" s="134"/>
      <c r="M630" s="136"/>
      <c r="N630" s="501"/>
      <c r="O630" s="135"/>
      <c r="P630" s="134"/>
      <c r="Q630" s="133">
        <v>2</v>
      </c>
      <c r="R630" s="502">
        <f>Q630</f>
        <v>2</v>
      </c>
      <c r="S630" s="841" t="s">
        <v>101</v>
      </c>
      <c r="T630" s="262" t="s">
        <v>90</v>
      </c>
      <c r="U630" s="39"/>
      <c r="V630" s="1314">
        <f t="shared" si="74"/>
        <v>23</v>
      </c>
      <c r="W630" s="26"/>
      <c r="X630" s="26"/>
      <c r="Y630" s="26"/>
      <c r="Z630" s="27"/>
      <c r="AA630" s="41"/>
      <c r="AB630" s="42"/>
    </row>
    <row r="631" spans="1:36" s="9" customFormat="1" ht="15">
      <c r="A631" s="944"/>
      <c r="B631" s="922"/>
      <c r="C631" s="79" t="s">
        <v>1033</v>
      </c>
      <c r="D631" s="156"/>
      <c r="E631" s="86"/>
      <c r="F631" s="155"/>
      <c r="G631" s="156"/>
      <c r="H631" s="86"/>
      <c r="I631" s="155"/>
      <c r="J631" s="138" t="s">
        <v>105</v>
      </c>
      <c r="K631" s="137"/>
      <c r="L631" s="134"/>
      <c r="M631" s="136"/>
      <c r="N631" s="501"/>
      <c r="O631" s="135"/>
      <c r="P631" s="134"/>
      <c r="Q631" s="133">
        <v>2</v>
      </c>
      <c r="R631" s="508">
        <f t="shared" ref="R631:R639" si="75">Q631</f>
        <v>2</v>
      </c>
      <c r="S631" s="509" t="s">
        <v>101</v>
      </c>
      <c r="T631" s="262" t="s">
        <v>90</v>
      </c>
      <c r="U631" s="39"/>
      <c r="V631" s="1314">
        <f t="shared" si="74"/>
        <v>23</v>
      </c>
      <c r="W631" s="26"/>
      <c r="X631" s="26"/>
      <c r="Y631" s="26"/>
      <c r="Z631" s="27"/>
      <c r="AA631" s="41"/>
      <c r="AB631" s="42"/>
    </row>
    <row r="632" spans="1:36" s="8" customFormat="1" ht="15">
      <c r="A632" s="516"/>
      <c r="B632" s="924"/>
      <c r="C632" s="79" t="s">
        <v>1034</v>
      </c>
      <c r="D632" s="156"/>
      <c r="E632" s="86"/>
      <c r="F632" s="155"/>
      <c r="G632" s="156"/>
      <c r="H632" s="86"/>
      <c r="I632" s="155"/>
      <c r="J632" s="138" t="s">
        <v>105</v>
      </c>
      <c r="K632" s="137"/>
      <c r="L632" s="134"/>
      <c r="M632" s="136"/>
      <c r="N632" s="135"/>
      <c r="O632" s="135"/>
      <c r="P632" s="134"/>
      <c r="Q632" s="133">
        <v>2</v>
      </c>
      <c r="R632" s="1366">
        <f t="shared" si="75"/>
        <v>2</v>
      </c>
      <c r="S632" s="225" t="s">
        <v>101</v>
      </c>
      <c r="T632" s="1367" t="s">
        <v>90</v>
      </c>
      <c r="U632" s="1368"/>
      <c r="V632" s="1314">
        <f t="shared" si="74"/>
        <v>23</v>
      </c>
      <c r="W632" s="938"/>
      <c r="X632" s="938"/>
      <c r="Y632" s="938"/>
      <c r="Z632" s="939"/>
    </row>
    <row r="633" spans="1:36" s="9" customFormat="1" ht="15">
      <c r="A633" s="944"/>
      <c r="B633" s="922"/>
      <c r="C633" s="79" t="s">
        <v>1035</v>
      </c>
      <c r="D633" s="156"/>
      <c r="E633" s="86"/>
      <c r="F633" s="155"/>
      <c r="G633" s="156"/>
      <c r="H633" s="86"/>
      <c r="I633" s="155"/>
      <c r="J633" s="138" t="s">
        <v>105</v>
      </c>
      <c r="K633" s="137"/>
      <c r="L633" s="134"/>
      <c r="M633" s="136"/>
      <c r="N633" s="501"/>
      <c r="O633" s="135"/>
      <c r="P633" s="134"/>
      <c r="Q633" s="133">
        <v>4</v>
      </c>
      <c r="R633" s="508">
        <f t="shared" si="75"/>
        <v>4</v>
      </c>
      <c r="S633" s="509" t="s">
        <v>101</v>
      </c>
      <c r="T633" s="262" t="s">
        <v>90</v>
      </c>
      <c r="U633" s="39"/>
      <c r="V633" s="1314">
        <f t="shared" si="74"/>
        <v>23</v>
      </c>
      <c r="W633" s="26"/>
      <c r="X633" s="26"/>
      <c r="Y633" s="26"/>
      <c r="Z633" s="27"/>
      <c r="AA633" s="41"/>
      <c r="AB633" s="42"/>
    </row>
    <row r="634" spans="1:36" s="8" customFormat="1" ht="15">
      <c r="A634" s="516"/>
      <c r="B634" s="924"/>
      <c r="C634" s="79" t="s">
        <v>1036</v>
      </c>
      <c r="D634" s="156"/>
      <c r="E634" s="86"/>
      <c r="F634" s="155"/>
      <c r="G634" s="156"/>
      <c r="H634" s="86"/>
      <c r="I634" s="155"/>
      <c r="J634" s="138" t="s">
        <v>105</v>
      </c>
      <c r="K634" s="137"/>
      <c r="L634" s="134"/>
      <c r="M634" s="136"/>
      <c r="N634" s="135"/>
      <c r="O634" s="135"/>
      <c r="P634" s="134"/>
      <c r="Q634" s="133">
        <v>4</v>
      </c>
      <c r="R634" s="1366">
        <f t="shared" si="75"/>
        <v>4</v>
      </c>
      <c r="S634" s="225" t="s">
        <v>101</v>
      </c>
      <c r="T634" s="1367" t="s">
        <v>90</v>
      </c>
      <c r="U634" s="1368"/>
      <c r="V634" s="1314">
        <f t="shared" si="74"/>
        <v>23</v>
      </c>
      <c r="W634" s="938"/>
      <c r="X634" s="938"/>
      <c r="Y634" s="938"/>
      <c r="Z634" s="939"/>
    </row>
    <row r="635" spans="1:36" s="9" customFormat="1" ht="15">
      <c r="A635" s="944"/>
      <c r="B635" s="922"/>
      <c r="C635" s="79" t="s">
        <v>1037</v>
      </c>
      <c r="D635" s="156"/>
      <c r="E635" s="86"/>
      <c r="F635" s="155"/>
      <c r="G635" s="156"/>
      <c r="H635" s="86"/>
      <c r="I635" s="155"/>
      <c r="J635" s="138" t="s">
        <v>105</v>
      </c>
      <c r="K635" s="137"/>
      <c r="L635" s="134"/>
      <c r="M635" s="136"/>
      <c r="N635" s="501"/>
      <c r="O635" s="135"/>
      <c r="P635" s="134"/>
      <c r="Q635" s="133">
        <v>2</v>
      </c>
      <c r="R635" s="508">
        <f t="shared" si="75"/>
        <v>2</v>
      </c>
      <c r="S635" s="509" t="s">
        <v>101</v>
      </c>
      <c r="T635" s="262" t="s">
        <v>90</v>
      </c>
      <c r="U635" s="39"/>
      <c r="V635" s="1314">
        <f t="shared" si="74"/>
        <v>23</v>
      </c>
      <c r="W635" s="26"/>
      <c r="X635" s="26"/>
      <c r="Y635" s="26"/>
      <c r="Z635" s="27"/>
      <c r="AA635" s="41"/>
      <c r="AB635" s="42"/>
    </row>
    <row r="636" spans="1:36" s="8" customFormat="1" ht="15">
      <c r="A636" s="516"/>
      <c r="B636" s="924"/>
      <c r="C636" s="79" t="s">
        <v>1038</v>
      </c>
      <c r="D636" s="156"/>
      <c r="E636" s="86"/>
      <c r="F636" s="155"/>
      <c r="G636" s="156"/>
      <c r="H636" s="86"/>
      <c r="I636" s="155"/>
      <c r="J636" s="138" t="s">
        <v>105</v>
      </c>
      <c r="K636" s="137"/>
      <c r="L636" s="134"/>
      <c r="M636" s="136"/>
      <c r="N636" s="135"/>
      <c r="O636" s="135"/>
      <c r="P636" s="134"/>
      <c r="Q636" s="133">
        <v>2</v>
      </c>
      <c r="R636" s="1366">
        <f t="shared" si="75"/>
        <v>2</v>
      </c>
      <c r="S636" s="225" t="s">
        <v>101</v>
      </c>
      <c r="T636" s="1367" t="s">
        <v>90</v>
      </c>
      <c r="U636" s="1368"/>
      <c r="V636" s="1314">
        <f t="shared" si="74"/>
        <v>23</v>
      </c>
      <c r="W636" s="938"/>
      <c r="X636" s="938"/>
      <c r="Y636" s="938"/>
      <c r="Z636" s="939"/>
    </row>
    <row r="637" spans="1:36" s="9" customFormat="1" ht="15">
      <c r="A637" s="944"/>
      <c r="B637" s="922"/>
      <c r="C637" s="79" t="s">
        <v>1039</v>
      </c>
      <c r="D637" s="156"/>
      <c r="E637" s="86"/>
      <c r="F637" s="155"/>
      <c r="G637" s="156"/>
      <c r="H637" s="86"/>
      <c r="I637" s="155"/>
      <c r="J637" s="138" t="s">
        <v>105</v>
      </c>
      <c r="K637" s="137"/>
      <c r="L637" s="134"/>
      <c r="M637" s="136"/>
      <c r="N637" s="501"/>
      <c r="O637" s="135"/>
      <c r="P637" s="134"/>
      <c r="Q637" s="133">
        <v>2</v>
      </c>
      <c r="R637" s="508">
        <f t="shared" si="75"/>
        <v>2</v>
      </c>
      <c r="S637" s="509" t="s">
        <v>101</v>
      </c>
      <c r="T637" s="262" t="s">
        <v>90</v>
      </c>
      <c r="U637" s="39"/>
      <c r="V637" s="1314">
        <f t="shared" si="74"/>
        <v>23</v>
      </c>
      <c r="W637" s="26"/>
      <c r="X637" s="26"/>
      <c r="Y637" s="26"/>
      <c r="Z637" s="27"/>
      <c r="AA637" s="41"/>
      <c r="AB637" s="42"/>
    </row>
    <row r="638" spans="1:36" s="8" customFormat="1" ht="15">
      <c r="A638" s="516"/>
      <c r="B638" s="924"/>
      <c r="C638" s="79" t="s">
        <v>1040</v>
      </c>
      <c r="D638" s="156"/>
      <c r="E638" s="86"/>
      <c r="F638" s="155"/>
      <c r="G638" s="156"/>
      <c r="H638" s="86"/>
      <c r="I638" s="155"/>
      <c r="J638" s="138" t="s">
        <v>105</v>
      </c>
      <c r="K638" s="137"/>
      <c r="L638" s="134"/>
      <c r="M638" s="136"/>
      <c r="N638" s="135"/>
      <c r="O638" s="135"/>
      <c r="P638" s="134"/>
      <c r="Q638" s="133">
        <v>2</v>
      </c>
      <c r="R638" s="1366">
        <f t="shared" si="75"/>
        <v>2</v>
      </c>
      <c r="S638" s="225" t="s">
        <v>101</v>
      </c>
      <c r="T638" s="1367" t="s">
        <v>90</v>
      </c>
      <c r="U638" s="1368"/>
      <c r="V638" s="1314">
        <f t="shared" si="74"/>
        <v>23</v>
      </c>
      <c r="W638" s="938"/>
      <c r="X638" s="938"/>
      <c r="Y638" s="938"/>
      <c r="Z638" s="939"/>
    </row>
    <row r="639" spans="1:36" s="8" customFormat="1" ht="15">
      <c r="A639" s="516"/>
      <c r="B639" s="59"/>
      <c r="C639" s="127" t="s">
        <v>1041</v>
      </c>
      <c r="D639" s="156"/>
      <c r="E639" s="86"/>
      <c r="F639" s="155"/>
      <c r="G639" s="85"/>
      <c r="H639" s="86"/>
      <c r="I639" s="87"/>
      <c r="J639" s="138" t="s">
        <v>105</v>
      </c>
      <c r="K639" s="137"/>
      <c r="L639" s="134"/>
      <c r="M639" s="136"/>
      <c r="N639" s="135"/>
      <c r="O639" s="135"/>
      <c r="P639" s="134"/>
      <c r="Q639" s="133">
        <v>1</v>
      </c>
      <c r="R639" s="1366">
        <f t="shared" si="75"/>
        <v>1</v>
      </c>
      <c r="S639" s="132" t="s">
        <v>101</v>
      </c>
      <c r="T639" s="960" t="s">
        <v>90</v>
      </c>
      <c r="U639" s="71"/>
      <c r="V639" s="1314">
        <f t="shared" si="74"/>
        <v>23</v>
      </c>
      <c r="AB639" s="15"/>
    </row>
    <row r="640" spans="1:36" s="8" customFormat="1" ht="15.75">
      <c r="A640" s="516"/>
      <c r="B640" s="877"/>
      <c r="C640" s="113"/>
      <c r="D640" s="2436" t="s">
        <v>18</v>
      </c>
      <c r="E640" s="2437"/>
      <c r="F640" s="2437"/>
      <c r="G640" s="2437"/>
      <c r="H640" s="2437"/>
      <c r="I640" s="2438"/>
      <c r="J640" s="2439">
        <f>VLOOKUP(A642,'12 - FINANCEIRA'!_xlnm.Print_Area,6,FALSE)</f>
        <v>23</v>
      </c>
      <c r="K640" s="2440"/>
      <c r="L640" s="519" t="str">
        <f>VLOOKUP(A642,'12 - FINANCEIRA'!_xlnm.Print_Area,4,FALSE)</f>
        <v>und</v>
      </c>
      <c r="M640" s="2441" t="s">
        <v>19</v>
      </c>
      <c r="N640" s="2442"/>
      <c r="O640" s="2442"/>
      <c r="P640" s="2442"/>
      <c r="Q640" s="2443"/>
      <c r="R640" s="878">
        <f>SUM(R630:R639)</f>
        <v>23</v>
      </c>
      <c r="S640" s="520" t="str">
        <f>L640</f>
        <v>und</v>
      </c>
      <c r="T640" s="680"/>
      <c r="U640" s="663"/>
      <c r="V640" s="1314">
        <f>V641</f>
        <v>23</v>
      </c>
      <c r="AB640" s="15"/>
    </row>
    <row r="641" spans="1:36" s="8" customFormat="1" ht="15.75">
      <c r="A641" s="516"/>
      <c r="B641" s="877"/>
      <c r="C641" s="681"/>
      <c r="D641" s="2444" t="s">
        <v>20</v>
      </c>
      <c r="E641" s="2445"/>
      <c r="F641" s="2445"/>
      <c r="G641" s="2445"/>
      <c r="H641" s="2445"/>
      <c r="I641" s="2446"/>
      <c r="J641" s="2450">
        <f>R640/J640</f>
        <v>1</v>
      </c>
      <c r="K641" s="2451"/>
      <c r="L641" s="2454"/>
      <c r="M641" s="2441" t="s">
        <v>21</v>
      </c>
      <c r="N641" s="2442"/>
      <c r="O641" s="2442"/>
      <c r="P641" s="2442"/>
      <c r="Q641" s="2443"/>
      <c r="R641" s="878">
        <f>VLOOKUP(A642,'12 - FINANCEIRA'!_xlnm.Print_Area,8,FALSE)</f>
        <v>0</v>
      </c>
      <c r="S641" s="879" t="str">
        <f>L640</f>
        <v>und</v>
      </c>
      <c r="T641" s="1028"/>
      <c r="U641" s="1115"/>
      <c r="V641" s="1314">
        <f>V642</f>
        <v>23</v>
      </c>
      <c r="AB641" s="15"/>
    </row>
    <row r="642" spans="1:36" s="8" customFormat="1" ht="15.75">
      <c r="A642" s="516" t="s">
        <v>953</v>
      </c>
      <c r="B642" s="877"/>
      <c r="C642" s="113"/>
      <c r="D642" s="2447"/>
      <c r="E642" s="2448"/>
      <c r="F642" s="2448"/>
      <c r="G642" s="2448"/>
      <c r="H642" s="2448"/>
      <c r="I642" s="2449"/>
      <c r="J642" s="2452"/>
      <c r="K642" s="2453"/>
      <c r="L642" s="2455"/>
      <c r="M642" s="2456" t="s">
        <v>22</v>
      </c>
      <c r="N642" s="2457"/>
      <c r="O642" s="2457"/>
      <c r="P642" s="2457"/>
      <c r="Q642" s="2458"/>
      <c r="R642" s="521">
        <f>R640-R641</f>
        <v>23</v>
      </c>
      <c r="S642" s="522" t="str">
        <f>L640</f>
        <v>und</v>
      </c>
      <c r="T642" s="680"/>
      <c r="U642" s="663"/>
      <c r="V642" s="1314">
        <f>R642</f>
        <v>23</v>
      </c>
      <c r="AB642" s="15"/>
    </row>
    <row r="643" spans="1:36" s="8" customFormat="1" ht="15.75">
      <c r="A643" s="516"/>
      <c r="B643" s="523"/>
      <c r="C643" s="524"/>
      <c r="D643" s="526"/>
      <c r="E643" s="526"/>
      <c r="F643" s="526"/>
      <c r="G643" s="525"/>
      <c r="H643" s="525"/>
      <c r="I643" s="525"/>
      <c r="J643" s="527"/>
      <c r="K643" s="528"/>
      <c r="L643" s="529"/>
      <c r="M643" s="530"/>
      <c r="N643" s="530"/>
      <c r="O643" s="530"/>
      <c r="P643" s="530"/>
      <c r="Q643" s="530"/>
      <c r="R643" s="531"/>
      <c r="S643" s="532"/>
      <c r="T643" s="533"/>
      <c r="U643" s="534"/>
      <c r="V643" s="1658">
        <f>SUM(V628:V642)</f>
        <v>345</v>
      </c>
      <c r="AB643" s="15"/>
    </row>
    <row r="644" spans="1:36" s="497" customFormat="1" ht="15.75">
      <c r="A644" s="495"/>
      <c r="B644" s="2423" t="str">
        <f>VLOOKUP(A658,'12 - FINANCEIRA'!_xlnm.Print_Area,1,FALSE)</f>
        <v>3.2.2</v>
      </c>
      <c r="C644" s="2421" t="str">
        <f>VLOOKUP(A658,'12 - FINANCEIRA'!_xlnm.Print_Area,3,FALSE)</f>
        <v>Sinalização vertical com chapa em esmalte sintético</v>
      </c>
      <c r="D644" s="2479" t="s">
        <v>97</v>
      </c>
      <c r="E644" s="2480"/>
      <c r="F644" s="2480"/>
      <c r="G644" s="2480"/>
      <c r="H644" s="2480"/>
      <c r="I644" s="2481"/>
      <c r="J644" s="2416" t="s">
        <v>98</v>
      </c>
      <c r="K644" s="2416" t="s">
        <v>102</v>
      </c>
      <c r="L644" s="2416" t="s">
        <v>103</v>
      </c>
      <c r="M644" s="2416" t="s">
        <v>228</v>
      </c>
      <c r="N644" s="2416" t="s">
        <v>229</v>
      </c>
      <c r="O644" s="2416" t="s">
        <v>107</v>
      </c>
      <c r="P644" s="2416" t="s">
        <v>16</v>
      </c>
      <c r="Q644" s="2425" t="s">
        <v>2</v>
      </c>
      <c r="R644" s="2425" t="s">
        <v>2</v>
      </c>
      <c r="S644" s="2416" t="s">
        <v>99</v>
      </c>
      <c r="T644" s="2416" t="s">
        <v>17</v>
      </c>
      <c r="U644" s="2428" t="s">
        <v>362</v>
      </c>
      <c r="V644" s="1314">
        <f t="shared" ref="V644:V656" si="76">V645</f>
        <v>12</v>
      </c>
      <c r="W644" s="26"/>
      <c r="X644" s="26"/>
      <c r="Y644" s="26"/>
      <c r="Z644" s="27"/>
      <c r="AA644" s="9"/>
      <c r="AB644" s="9"/>
      <c r="AC644" s="9"/>
      <c r="AD644" s="9"/>
      <c r="AE644" s="9"/>
      <c r="AF644" s="9"/>
      <c r="AG644" s="9"/>
      <c r="AH644" s="9"/>
      <c r="AI644" s="9"/>
      <c r="AJ644" s="9"/>
    </row>
    <row r="645" spans="1:36" s="497" customFormat="1" ht="15.75">
      <c r="A645" s="495"/>
      <c r="B645" s="2471" t="e">
        <f>LEFT(#REF!,5)</f>
        <v>#REF!</v>
      </c>
      <c r="C645" s="2472" t="e">
        <f>VLOOKUP(LEFT(#REF!,5),'12 - FINANCEIRA'!_xlnm.Print_Area,2,FALSE)</f>
        <v>#REF!</v>
      </c>
      <c r="D645" s="2430" t="s">
        <v>14</v>
      </c>
      <c r="E645" s="2431"/>
      <c r="F645" s="2432"/>
      <c r="G645" s="2433" t="s">
        <v>15</v>
      </c>
      <c r="H645" s="2434"/>
      <c r="I645" s="2435"/>
      <c r="J645" s="2427"/>
      <c r="K645" s="2427"/>
      <c r="L645" s="2427"/>
      <c r="M645" s="2427"/>
      <c r="N645" s="2427"/>
      <c r="O645" s="2427"/>
      <c r="P645" s="2427"/>
      <c r="Q645" s="2426"/>
      <c r="R645" s="2426"/>
      <c r="S645" s="2427"/>
      <c r="T645" s="2427"/>
      <c r="U645" s="2429"/>
      <c r="V645" s="1314">
        <f t="shared" si="76"/>
        <v>12</v>
      </c>
      <c r="W645" s="26"/>
      <c r="X645" s="26"/>
      <c r="Y645" s="26"/>
      <c r="Z645" s="27"/>
      <c r="AA645" s="9"/>
      <c r="AB645" s="9"/>
      <c r="AC645" s="9"/>
      <c r="AD645" s="9"/>
      <c r="AE645" s="9"/>
      <c r="AF645" s="9"/>
      <c r="AG645" s="9"/>
      <c r="AH645" s="9"/>
      <c r="AI645" s="9"/>
      <c r="AJ645" s="9"/>
    </row>
    <row r="646" spans="1:36" s="9" customFormat="1" ht="15">
      <c r="A646" s="944"/>
      <c r="B646" s="922"/>
      <c r="C646" s="79" t="s">
        <v>1032</v>
      </c>
      <c r="D646" s="156"/>
      <c r="E646" s="86"/>
      <c r="F646" s="155"/>
      <c r="G646" s="156"/>
      <c r="H646" s="86"/>
      <c r="I646" s="155"/>
      <c r="J646" s="138" t="s">
        <v>105</v>
      </c>
      <c r="K646" s="137">
        <v>1</v>
      </c>
      <c r="L646" s="134">
        <v>0.5</v>
      </c>
      <c r="M646" s="136"/>
      <c r="N646" s="501">
        <f>TRUNC(K646*L646,3)</f>
        <v>0.5</v>
      </c>
      <c r="O646" s="135"/>
      <c r="P646" s="134"/>
      <c r="Q646" s="133">
        <v>2</v>
      </c>
      <c r="R646" s="502">
        <f>TRUNC(N646*Q646,3)</f>
        <v>1</v>
      </c>
      <c r="S646" s="841" t="s">
        <v>7</v>
      </c>
      <c r="T646" s="262" t="s">
        <v>90</v>
      </c>
      <c r="U646" s="39"/>
      <c r="V646" s="1314">
        <f t="shared" si="76"/>
        <v>12</v>
      </c>
      <c r="W646" s="26"/>
      <c r="X646" s="26"/>
      <c r="Y646" s="26"/>
      <c r="Z646" s="27"/>
      <c r="AA646" s="41"/>
      <c r="AB646" s="42"/>
    </row>
    <row r="647" spans="1:36" s="9" customFormat="1" ht="15">
      <c r="A647" s="944"/>
      <c r="B647" s="922"/>
      <c r="C647" s="79" t="s">
        <v>1033</v>
      </c>
      <c r="D647" s="156"/>
      <c r="E647" s="86"/>
      <c r="F647" s="155"/>
      <c r="G647" s="156"/>
      <c r="H647" s="86"/>
      <c r="I647" s="155"/>
      <c r="J647" s="138" t="s">
        <v>105</v>
      </c>
      <c r="K647" s="137">
        <v>1</v>
      </c>
      <c r="L647" s="134">
        <v>0.5</v>
      </c>
      <c r="M647" s="136"/>
      <c r="N647" s="501">
        <f t="shared" ref="N647:N655" si="77">TRUNC(K647*L647,3)</f>
        <v>0.5</v>
      </c>
      <c r="O647" s="135"/>
      <c r="P647" s="134"/>
      <c r="Q647" s="133">
        <v>2</v>
      </c>
      <c r="R647" s="508">
        <f t="shared" ref="R647:R655" si="78">TRUNC(N647*Q647,3)</f>
        <v>1</v>
      </c>
      <c r="S647" s="509" t="s">
        <v>7</v>
      </c>
      <c r="T647" s="262" t="s">
        <v>90</v>
      </c>
      <c r="U647" s="39"/>
      <c r="V647" s="1314">
        <f t="shared" si="76"/>
        <v>12</v>
      </c>
      <c r="W647" s="26"/>
      <c r="X647" s="26"/>
      <c r="Y647" s="26"/>
      <c r="Z647" s="27"/>
      <c r="AA647" s="41"/>
      <c r="AB647" s="42"/>
    </row>
    <row r="648" spans="1:36" s="8" customFormat="1" ht="15">
      <c r="A648" s="516"/>
      <c r="B648" s="924"/>
      <c r="C648" s="79" t="s">
        <v>1034</v>
      </c>
      <c r="D648" s="156"/>
      <c r="E648" s="86"/>
      <c r="F648" s="155"/>
      <c r="G648" s="156"/>
      <c r="H648" s="86"/>
      <c r="I648" s="155"/>
      <c r="J648" s="138" t="s">
        <v>105</v>
      </c>
      <c r="K648" s="137">
        <v>1</v>
      </c>
      <c r="L648" s="134">
        <v>0.5</v>
      </c>
      <c r="M648" s="136"/>
      <c r="N648" s="135">
        <f t="shared" si="77"/>
        <v>0.5</v>
      </c>
      <c r="O648" s="135"/>
      <c r="P648" s="134"/>
      <c r="Q648" s="133">
        <v>2</v>
      </c>
      <c r="R648" s="1366">
        <f t="shared" si="78"/>
        <v>1</v>
      </c>
      <c r="S648" s="225" t="s">
        <v>7</v>
      </c>
      <c r="T648" s="1367" t="s">
        <v>90</v>
      </c>
      <c r="U648" s="1368"/>
      <c r="V648" s="1314">
        <f t="shared" si="76"/>
        <v>12</v>
      </c>
      <c r="W648" s="938"/>
      <c r="X648" s="938"/>
      <c r="Y648" s="938"/>
      <c r="Z648" s="939"/>
    </row>
    <row r="649" spans="1:36" s="9" customFormat="1" ht="15">
      <c r="A649" s="944"/>
      <c r="B649" s="922"/>
      <c r="C649" s="79" t="s">
        <v>1035</v>
      </c>
      <c r="D649" s="156"/>
      <c r="E649" s="86"/>
      <c r="F649" s="155"/>
      <c r="G649" s="156"/>
      <c r="H649" s="86"/>
      <c r="I649" s="155"/>
      <c r="J649" s="138" t="s">
        <v>105</v>
      </c>
      <c r="K649" s="137">
        <v>1</v>
      </c>
      <c r="L649" s="134">
        <v>0.5</v>
      </c>
      <c r="M649" s="136"/>
      <c r="N649" s="501">
        <f t="shared" ref="N649:N654" si="79">TRUNC(K649*L649,3)</f>
        <v>0.5</v>
      </c>
      <c r="O649" s="135"/>
      <c r="P649" s="134"/>
      <c r="Q649" s="133">
        <v>4</v>
      </c>
      <c r="R649" s="508">
        <f t="shared" ref="R649:R654" si="80">TRUNC(N649*Q649,3)</f>
        <v>2</v>
      </c>
      <c r="S649" s="509" t="s">
        <v>7</v>
      </c>
      <c r="T649" s="262" t="s">
        <v>90</v>
      </c>
      <c r="U649" s="39"/>
      <c r="V649" s="1314">
        <f t="shared" si="76"/>
        <v>12</v>
      </c>
      <c r="W649" s="26"/>
      <c r="X649" s="26"/>
      <c r="Y649" s="26"/>
      <c r="Z649" s="27"/>
      <c r="AA649" s="41"/>
      <c r="AB649" s="42"/>
    </row>
    <row r="650" spans="1:36" s="8" customFormat="1" ht="15">
      <c r="A650" s="516"/>
      <c r="B650" s="924"/>
      <c r="C650" s="79" t="s">
        <v>1036</v>
      </c>
      <c r="D650" s="156"/>
      <c r="E650" s="86"/>
      <c r="F650" s="155"/>
      <c r="G650" s="156"/>
      <c r="H650" s="86"/>
      <c r="I650" s="155"/>
      <c r="J650" s="138" t="s">
        <v>105</v>
      </c>
      <c r="K650" s="137">
        <v>1</v>
      </c>
      <c r="L650" s="134">
        <v>0.5</v>
      </c>
      <c r="M650" s="136"/>
      <c r="N650" s="135">
        <f t="shared" si="79"/>
        <v>0.5</v>
      </c>
      <c r="O650" s="135"/>
      <c r="P650" s="134"/>
      <c r="Q650" s="133">
        <v>4</v>
      </c>
      <c r="R650" s="1366">
        <f t="shared" si="80"/>
        <v>2</v>
      </c>
      <c r="S650" s="225" t="s">
        <v>7</v>
      </c>
      <c r="T650" s="1367" t="s">
        <v>90</v>
      </c>
      <c r="U650" s="1368"/>
      <c r="V650" s="1314">
        <f t="shared" si="76"/>
        <v>12</v>
      </c>
      <c r="W650" s="938"/>
      <c r="X650" s="938"/>
      <c r="Y650" s="938"/>
      <c r="Z650" s="939"/>
    </row>
    <row r="651" spans="1:36" s="9" customFormat="1" ht="15">
      <c r="A651" s="944"/>
      <c r="B651" s="922"/>
      <c r="C651" s="79" t="s">
        <v>1037</v>
      </c>
      <c r="D651" s="156"/>
      <c r="E651" s="86"/>
      <c r="F651" s="155"/>
      <c r="G651" s="156"/>
      <c r="H651" s="86"/>
      <c r="I651" s="155"/>
      <c r="J651" s="138" t="s">
        <v>105</v>
      </c>
      <c r="K651" s="137">
        <v>1</v>
      </c>
      <c r="L651" s="134">
        <v>0.5</v>
      </c>
      <c r="M651" s="136"/>
      <c r="N651" s="501">
        <f t="shared" si="79"/>
        <v>0.5</v>
      </c>
      <c r="O651" s="135"/>
      <c r="P651" s="134"/>
      <c r="Q651" s="133">
        <v>2</v>
      </c>
      <c r="R651" s="508">
        <f t="shared" si="80"/>
        <v>1</v>
      </c>
      <c r="S651" s="509" t="s">
        <v>7</v>
      </c>
      <c r="T651" s="262" t="s">
        <v>90</v>
      </c>
      <c r="U651" s="39"/>
      <c r="V651" s="1314">
        <f t="shared" si="76"/>
        <v>12</v>
      </c>
      <c r="W651" s="26"/>
      <c r="X651" s="26"/>
      <c r="Y651" s="26"/>
      <c r="Z651" s="27"/>
      <c r="AA651" s="41"/>
      <c r="AB651" s="42"/>
    </row>
    <row r="652" spans="1:36" s="8" customFormat="1" ht="15">
      <c r="A652" s="516"/>
      <c r="B652" s="924"/>
      <c r="C652" s="79" t="s">
        <v>1038</v>
      </c>
      <c r="D652" s="156"/>
      <c r="E652" s="86"/>
      <c r="F652" s="155"/>
      <c r="G652" s="156"/>
      <c r="H652" s="86"/>
      <c r="I652" s="155"/>
      <c r="J652" s="138" t="s">
        <v>105</v>
      </c>
      <c r="K652" s="137">
        <v>1</v>
      </c>
      <c r="L652" s="134">
        <v>0.5</v>
      </c>
      <c r="M652" s="136"/>
      <c r="N652" s="135">
        <f t="shared" si="79"/>
        <v>0.5</v>
      </c>
      <c r="O652" s="135"/>
      <c r="P652" s="134"/>
      <c r="Q652" s="133">
        <v>2</v>
      </c>
      <c r="R652" s="1366">
        <f t="shared" si="80"/>
        <v>1</v>
      </c>
      <c r="S652" s="225" t="s">
        <v>7</v>
      </c>
      <c r="T652" s="1367" t="s">
        <v>90</v>
      </c>
      <c r="U652" s="1368"/>
      <c r="V652" s="1314">
        <f t="shared" si="76"/>
        <v>12</v>
      </c>
      <c r="W652" s="938"/>
      <c r="X652" s="938"/>
      <c r="Y652" s="938"/>
      <c r="Z652" s="939"/>
    </row>
    <row r="653" spans="1:36" s="9" customFormat="1" ht="15">
      <c r="A653" s="944"/>
      <c r="B653" s="922"/>
      <c r="C653" s="79" t="s">
        <v>1039</v>
      </c>
      <c r="D653" s="156"/>
      <c r="E653" s="86"/>
      <c r="F653" s="155"/>
      <c r="G653" s="156"/>
      <c r="H653" s="86"/>
      <c r="I653" s="155"/>
      <c r="J653" s="138" t="s">
        <v>105</v>
      </c>
      <c r="K653" s="137">
        <v>1</v>
      </c>
      <c r="L653" s="134">
        <v>0.5</v>
      </c>
      <c r="M653" s="136"/>
      <c r="N653" s="501">
        <f t="shared" si="79"/>
        <v>0.5</v>
      </c>
      <c r="O653" s="135"/>
      <c r="P653" s="134"/>
      <c r="Q653" s="133">
        <v>2</v>
      </c>
      <c r="R653" s="508">
        <f t="shared" si="80"/>
        <v>1</v>
      </c>
      <c r="S653" s="509" t="s">
        <v>7</v>
      </c>
      <c r="T653" s="262" t="s">
        <v>90</v>
      </c>
      <c r="U653" s="39"/>
      <c r="V653" s="1314">
        <f t="shared" si="76"/>
        <v>12</v>
      </c>
      <c r="W653" s="26"/>
      <c r="X653" s="26"/>
      <c r="Y653" s="26"/>
      <c r="Z653" s="27"/>
      <c r="AA653" s="41"/>
      <c r="AB653" s="42"/>
    </row>
    <row r="654" spans="1:36" s="8" customFormat="1" ht="15">
      <c r="A654" s="516"/>
      <c r="B654" s="924"/>
      <c r="C654" s="79" t="s">
        <v>1040</v>
      </c>
      <c r="D654" s="156"/>
      <c r="E654" s="86"/>
      <c r="F654" s="155"/>
      <c r="G654" s="156"/>
      <c r="H654" s="86"/>
      <c r="I654" s="155"/>
      <c r="J654" s="138" t="s">
        <v>105</v>
      </c>
      <c r="K654" s="137">
        <v>1</v>
      </c>
      <c r="L654" s="134">
        <v>0.5</v>
      </c>
      <c r="M654" s="136"/>
      <c r="N654" s="135">
        <f t="shared" si="79"/>
        <v>0.5</v>
      </c>
      <c r="O654" s="135"/>
      <c r="P654" s="134"/>
      <c r="Q654" s="133">
        <v>2</v>
      </c>
      <c r="R654" s="1366">
        <f t="shared" si="80"/>
        <v>1</v>
      </c>
      <c r="S654" s="225" t="s">
        <v>7</v>
      </c>
      <c r="T654" s="1367" t="s">
        <v>90</v>
      </c>
      <c r="U654" s="1368"/>
      <c r="V654" s="1314">
        <f t="shared" si="76"/>
        <v>12</v>
      </c>
      <c r="W654" s="938"/>
      <c r="X654" s="938"/>
      <c r="Y654" s="938"/>
      <c r="Z654" s="939"/>
    </row>
    <row r="655" spans="1:36" s="8" customFormat="1" ht="15">
      <c r="A655" s="516"/>
      <c r="B655" s="59"/>
      <c r="C655" s="127" t="s">
        <v>1041</v>
      </c>
      <c r="D655" s="156"/>
      <c r="E655" s="86"/>
      <c r="F655" s="155"/>
      <c r="G655" s="85"/>
      <c r="H655" s="86"/>
      <c r="I655" s="87"/>
      <c r="J655" s="138" t="s">
        <v>105</v>
      </c>
      <c r="K655" s="137">
        <v>1</v>
      </c>
      <c r="L655" s="134">
        <v>0.5</v>
      </c>
      <c r="M655" s="136"/>
      <c r="N655" s="135">
        <f t="shared" si="77"/>
        <v>0.5</v>
      </c>
      <c r="O655" s="135"/>
      <c r="P655" s="134"/>
      <c r="Q655" s="133">
        <v>2</v>
      </c>
      <c r="R655" s="1366">
        <f t="shared" si="78"/>
        <v>1</v>
      </c>
      <c r="S655" s="132" t="s">
        <v>7</v>
      </c>
      <c r="T655" s="960" t="s">
        <v>90</v>
      </c>
      <c r="U655" s="1792"/>
      <c r="V655" s="1314">
        <f t="shared" si="76"/>
        <v>12</v>
      </c>
      <c r="AB655" s="15"/>
    </row>
    <row r="656" spans="1:36" s="8" customFormat="1" ht="15.75">
      <c r="A656" s="516"/>
      <c r="B656" s="877"/>
      <c r="C656" s="113"/>
      <c r="D656" s="2436" t="s">
        <v>18</v>
      </c>
      <c r="E656" s="2437"/>
      <c r="F656" s="2437"/>
      <c r="G656" s="2437"/>
      <c r="H656" s="2437"/>
      <c r="I656" s="2438"/>
      <c r="J656" s="2439">
        <f>VLOOKUP(A658,'12 - FINANCEIRA'!_xlnm.Print_Area,6,FALSE)</f>
        <v>12</v>
      </c>
      <c r="K656" s="2440"/>
      <c r="L656" s="519" t="str">
        <f>VLOOKUP(A658,'12 - FINANCEIRA'!_xlnm.Print_Area,4,FALSE)</f>
        <v>m²</v>
      </c>
      <c r="M656" s="2441" t="s">
        <v>19</v>
      </c>
      <c r="N656" s="2442"/>
      <c r="O656" s="2442"/>
      <c r="P656" s="2442"/>
      <c r="Q656" s="2443"/>
      <c r="R656" s="878">
        <f>SUM(R646:R655)</f>
        <v>12</v>
      </c>
      <c r="S656" s="520" t="str">
        <f>L656</f>
        <v>m²</v>
      </c>
      <c r="T656" s="1825"/>
      <c r="U656" s="663"/>
      <c r="V656" s="1314">
        <f t="shared" si="76"/>
        <v>12</v>
      </c>
      <c r="AB656" s="15"/>
    </row>
    <row r="657" spans="1:36" s="8" customFormat="1" ht="15.75">
      <c r="A657" s="516"/>
      <c r="B657" s="877"/>
      <c r="C657" s="681"/>
      <c r="D657" s="2444" t="s">
        <v>20</v>
      </c>
      <c r="E657" s="2445"/>
      <c r="F657" s="2445"/>
      <c r="G657" s="2445"/>
      <c r="H657" s="2445"/>
      <c r="I657" s="2446"/>
      <c r="J657" s="2450">
        <f>R656/J656</f>
        <v>1</v>
      </c>
      <c r="K657" s="2451"/>
      <c r="L657" s="2454"/>
      <c r="M657" s="2441" t="s">
        <v>21</v>
      </c>
      <c r="N657" s="2442"/>
      <c r="O657" s="2442"/>
      <c r="P657" s="2442"/>
      <c r="Q657" s="2443"/>
      <c r="R657" s="878">
        <f>VLOOKUP(A658,'12 - FINANCEIRA'!_xlnm.Print_Area,8,FALSE)</f>
        <v>0</v>
      </c>
      <c r="S657" s="879" t="str">
        <f>L656</f>
        <v>m²</v>
      </c>
      <c r="T657" s="1825"/>
      <c r="U657" s="1778"/>
      <c r="V657" s="1314">
        <f>V658</f>
        <v>12</v>
      </c>
      <c r="AB657" s="15"/>
    </row>
    <row r="658" spans="1:36" s="8" customFormat="1" ht="15.75">
      <c r="A658" s="516" t="s">
        <v>955</v>
      </c>
      <c r="B658" s="877"/>
      <c r="C658" s="113"/>
      <c r="D658" s="2447"/>
      <c r="E658" s="2448"/>
      <c r="F658" s="2448"/>
      <c r="G658" s="2448"/>
      <c r="H658" s="2448"/>
      <c r="I658" s="2449"/>
      <c r="J658" s="2452"/>
      <c r="K658" s="2453"/>
      <c r="L658" s="2455"/>
      <c r="M658" s="2456" t="s">
        <v>22</v>
      </c>
      <c r="N658" s="2457"/>
      <c r="O658" s="2457"/>
      <c r="P658" s="2457"/>
      <c r="Q658" s="2458"/>
      <c r="R658" s="521">
        <f>R656-R657</f>
        <v>12</v>
      </c>
      <c r="S658" s="522" t="str">
        <f>L656</f>
        <v>m²</v>
      </c>
      <c r="T658" s="1826"/>
      <c r="U658" s="1778"/>
      <c r="V658" s="1314">
        <f>R658</f>
        <v>12</v>
      </c>
      <c r="AB658" s="15"/>
    </row>
    <row r="659" spans="1:36" s="8" customFormat="1" ht="15.75">
      <c r="A659" s="516"/>
      <c r="B659" s="523"/>
      <c r="C659" s="524"/>
      <c r="D659" s="526"/>
      <c r="E659" s="526"/>
      <c r="F659" s="526"/>
      <c r="G659" s="525"/>
      <c r="H659" s="525"/>
      <c r="I659" s="525"/>
      <c r="J659" s="527"/>
      <c r="K659" s="528"/>
      <c r="L659" s="529"/>
      <c r="M659" s="530"/>
      <c r="N659" s="530"/>
      <c r="O659" s="530"/>
      <c r="P659" s="530"/>
      <c r="Q659" s="530"/>
      <c r="R659" s="531"/>
      <c r="S659" s="532"/>
      <c r="T659" s="533"/>
      <c r="U659" s="534"/>
      <c r="V659" s="1658">
        <f>SUM(V644:V658)</f>
        <v>180</v>
      </c>
      <c r="AB659" s="15"/>
    </row>
    <row r="660" spans="1:36" s="497" customFormat="1" ht="15.75">
      <c r="A660" s="495"/>
      <c r="B660" s="2423" t="str">
        <f>VLOOKUP(A668,'12 - FINANCEIRA'!_xlnm.Print_Area,1,FALSE)</f>
        <v>3.2.3</v>
      </c>
      <c r="C660" s="2421" t="str">
        <f>VLOOKUP(A668,'12 - FINANCEIRA'!_xlnm.Print_Area,3,FALSE)</f>
        <v>Tela de proteção de segurança de PVC cor laranja com suporte para sinalização de obras</v>
      </c>
      <c r="D660" s="2479" t="s">
        <v>97</v>
      </c>
      <c r="E660" s="2480"/>
      <c r="F660" s="2480"/>
      <c r="G660" s="2480"/>
      <c r="H660" s="2480"/>
      <c r="I660" s="2481"/>
      <c r="J660" s="2416" t="s">
        <v>98</v>
      </c>
      <c r="K660" s="2416" t="s">
        <v>102</v>
      </c>
      <c r="L660" s="2416" t="s">
        <v>103</v>
      </c>
      <c r="M660" s="2416" t="s">
        <v>525</v>
      </c>
      <c r="N660" s="2416" t="s">
        <v>229</v>
      </c>
      <c r="O660" s="2416" t="s">
        <v>107</v>
      </c>
      <c r="P660" s="496" t="s">
        <v>153</v>
      </c>
      <c r="Q660" s="2416" t="s">
        <v>2</v>
      </c>
      <c r="R660" s="2425" t="s">
        <v>2</v>
      </c>
      <c r="S660" s="2416" t="s">
        <v>99</v>
      </c>
      <c r="T660" s="2416" t="s">
        <v>17</v>
      </c>
      <c r="U660" s="2428" t="s">
        <v>362</v>
      </c>
      <c r="V660" s="1314">
        <f>V661</f>
        <v>350</v>
      </c>
      <c r="W660" s="26"/>
      <c r="X660" s="26"/>
      <c r="Y660" s="26"/>
      <c r="Z660" s="27"/>
      <c r="AA660" s="9"/>
      <c r="AB660" s="9"/>
      <c r="AC660" s="9"/>
      <c r="AD660" s="9"/>
      <c r="AE660" s="9"/>
      <c r="AF660" s="9"/>
      <c r="AG660" s="9"/>
      <c r="AH660" s="9"/>
      <c r="AI660" s="9"/>
      <c r="AJ660" s="9"/>
    </row>
    <row r="661" spans="1:36" s="497" customFormat="1" ht="15.75">
      <c r="A661" s="495"/>
      <c r="B661" s="2471" t="e">
        <f>LEFT(#REF!,5)</f>
        <v>#REF!</v>
      </c>
      <c r="C661" s="2472" t="e">
        <f>VLOOKUP(LEFT(#REF!,5),'12 - FINANCEIRA'!_xlnm.Print_Area,2,FALSE)</f>
        <v>#REF!</v>
      </c>
      <c r="D661" s="2430" t="s">
        <v>14</v>
      </c>
      <c r="E661" s="2431"/>
      <c r="F661" s="2432"/>
      <c r="G661" s="2433" t="s">
        <v>15</v>
      </c>
      <c r="H661" s="2434"/>
      <c r="I661" s="2435"/>
      <c r="J661" s="2427"/>
      <c r="K661" s="2427"/>
      <c r="L661" s="2427"/>
      <c r="M661" s="2427"/>
      <c r="N661" s="2427"/>
      <c r="O661" s="2427"/>
      <c r="P661" s="498" t="s">
        <v>104</v>
      </c>
      <c r="Q661" s="2427"/>
      <c r="R661" s="2426"/>
      <c r="S661" s="2427"/>
      <c r="T661" s="2427"/>
      <c r="U661" s="2429"/>
      <c r="V661" s="1314">
        <f>V662</f>
        <v>350</v>
      </c>
      <c r="W661" s="26"/>
      <c r="X661" s="26"/>
      <c r="Y661" s="26"/>
      <c r="Z661" s="27"/>
      <c r="AA661" s="9"/>
      <c r="AB661" s="9"/>
      <c r="AC661" s="9"/>
      <c r="AD661" s="9"/>
      <c r="AE661" s="9"/>
      <c r="AF661" s="9"/>
      <c r="AG661" s="9"/>
      <c r="AH661" s="9"/>
      <c r="AI661" s="9"/>
      <c r="AJ661" s="9"/>
    </row>
    <row r="662" spans="1:36" s="9" customFormat="1" ht="30">
      <c r="A662" s="944"/>
      <c r="B662" s="922"/>
      <c r="C662" s="1614" t="s">
        <v>1042</v>
      </c>
      <c r="D662" s="1623"/>
      <c r="E662" s="1624"/>
      <c r="F662" s="1625"/>
      <c r="G662" s="1623"/>
      <c r="H662" s="1624"/>
      <c r="I662" s="1625"/>
      <c r="J662" s="1341" t="s">
        <v>906</v>
      </c>
      <c r="K662" s="1342"/>
      <c r="L662" s="1343"/>
      <c r="M662" s="1344"/>
      <c r="N662" s="1345"/>
      <c r="O662" s="1346"/>
      <c r="P662" s="1343"/>
      <c r="Q662" s="1627"/>
      <c r="R662" s="502">
        <v>200</v>
      </c>
      <c r="S662" s="841" t="s">
        <v>8</v>
      </c>
      <c r="T662" s="1367" t="s">
        <v>90</v>
      </c>
      <c r="U662" s="39"/>
      <c r="V662" s="1314">
        <f>V663</f>
        <v>350</v>
      </c>
      <c r="W662" s="26"/>
      <c r="X662" s="26"/>
      <c r="Y662" s="26"/>
      <c r="Z662" s="27"/>
      <c r="AA662" s="41"/>
      <c r="AB662" s="42"/>
    </row>
    <row r="663" spans="1:36" s="9" customFormat="1" ht="30">
      <c r="A663" s="944"/>
      <c r="B663" s="922"/>
      <c r="C663" s="79" t="s">
        <v>1043</v>
      </c>
      <c r="D663" s="156"/>
      <c r="E663" s="86"/>
      <c r="F663" s="155"/>
      <c r="G663" s="156"/>
      <c r="H663" s="86"/>
      <c r="I663" s="155"/>
      <c r="J663" s="138" t="s">
        <v>906</v>
      </c>
      <c r="K663" s="1342"/>
      <c r="L663" s="134"/>
      <c r="M663" s="136"/>
      <c r="N663" s="501"/>
      <c r="O663" s="135"/>
      <c r="P663" s="134"/>
      <c r="Q663" s="225"/>
      <c r="R663" s="508">
        <v>150</v>
      </c>
      <c r="S663" s="512" t="s">
        <v>8</v>
      </c>
      <c r="T663" s="262" t="s">
        <v>90</v>
      </c>
      <c r="U663" s="39"/>
      <c r="V663" s="1314">
        <f>V664</f>
        <v>350</v>
      </c>
      <c r="W663" s="26"/>
      <c r="X663" s="26"/>
      <c r="Y663" s="26"/>
      <c r="Z663" s="27"/>
      <c r="AA663" s="41"/>
      <c r="AB663" s="42"/>
    </row>
    <row r="664" spans="1:36" s="8" customFormat="1" ht="15">
      <c r="A664" s="516"/>
      <c r="B664" s="924"/>
      <c r="C664" s="58"/>
      <c r="D664" s="82"/>
      <c r="E664" s="44"/>
      <c r="F664" s="83"/>
      <c r="G664" s="82"/>
      <c r="H664" s="44"/>
      <c r="I664" s="83"/>
      <c r="J664" s="46"/>
      <c r="K664" s="47"/>
      <c r="L664" s="48"/>
      <c r="M664" s="49"/>
      <c r="N664" s="211"/>
      <c r="O664" s="50"/>
      <c r="P664" s="48"/>
      <c r="Q664" s="209"/>
      <c r="R664" s="168"/>
      <c r="S664" s="180"/>
      <c r="T664" s="90"/>
      <c r="U664" s="167"/>
      <c r="V664" s="1314">
        <f t="shared" ref="V664:V665" si="81">V665</f>
        <v>350</v>
      </c>
      <c r="W664" s="938"/>
      <c r="X664" s="938"/>
      <c r="Y664" s="938"/>
      <c r="Z664" s="939"/>
    </row>
    <row r="665" spans="1:36" s="8" customFormat="1" ht="15">
      <c r="A665" s="516"/>
      <c r="B665" s="59"/>
      <c r="C665" s="60"/>
      <c r="D665" s="161"/>
      <c r="E665" s="61"/>
      <c r="F665" s="160"/>
      <c r="G665" s="161"/>
      <c r="H665" s="61"/>
      <c r="I665" s="160"/>
      <c r="J665" s="62"/>
      <c r="K665" s="63"/>
      <c r="L665" s="64"/>
      <c r="M665" s="65"/>
      <c r="N665" s="900"/>
      <c r="O665" s="66"/>
      <c r="P665" s="64"/>
      <c r="Q665" s="901"/>
      <c r="R665" s="903"/>
      <c r="S665" s="902"/>
      <c r="T665" s="733"/>
      <c r="U665" s="71"/>
      <c r="V665" s="1314">
        <f t="shared" si="81"/>
        <v>350</v>
      </c>
      <c r="AB665" s="15"/>
    </row>
    <row r="666" spans="1:36" s="8" customFormat="1" ht="15.75">
      <c r="A666" s="516"/>
      <c r="B666" s="877"/>
      <c r="C666" s="113"/>
      <c r="D666" s="2475" t="s">
        <v>18</v>
      </c>
      <c r="E666" s="2460"/>
      <c r="F666" s="2460"/>
      <c r="G666" s="2460"/>
      <c r="H666" s="2460"/>
      <c r="I666" s="2476"/>
      <c r="J666" s="2484">
        <f>VLOOKUP(A668,'12 - FINANCEIRA'!_xlnm.Print_Area,6,FALSE)</f>
        <v>350</v>
      </c>
      <c r="K666" s="2485"/>
      <c r="L666" s="910" t="str">
        <f>VLOOKUP(A668,'12 - FINANCEIRA'!_xlnm.Print_Area,4,FALSE)</f>
        <v>m</v>
      </c>
      <c r="M666" s="2486" t="s">
        <v>19</v>
      </c>
      <c r="N666" s="2465"/>
      <c r="O666" s="2465"/>
      <c r="P666" s="2465"/>
      <c r="Q666" s="2487"/>
      <c r="R666" s="904">
        <f>SUM(R662:R665)</f>
        <v>350</v>
      </c>
      <c r="S666" s="905" t="str">
        <f>L666</f>
        <v>m</v>
      </c>
      <c r="T666" s="680"/>
      <c r="U666" s="663"/>
      <c r="V666" s="1314">
        <f>V667</f>
        <v>350</v>
      </c>
      <c r="AB666" s="15"/>
    </row>
    <row r="667" spans="1:36" s="8" customFormat="1" ht="15.75">
      <c r="A667" s="516"/>
      <c r="B667" s="877"/>
      <c r="C667" s="681"/>
      <c r="D667" s="2444" t="s">
        <v>20</v>
      </c>
      <c r="E667" s="2445"/>
      <c r="F667" s="2445"/>
      <c r="G667" s="2445"/>
      <c r="H667" s="2445"/>
      <c r="I667" s="2446"/>
      <c r="J667" s="2450">
        <f>R666/J666</f>
        <v>1</v>
      </c>
      <c r="K667" s="2451"/>
      <c r="L667" s="2454"/>
      <c r="M667" s="2441" t="s">
        <v>21</v>
      </c>
      <c r="N667" s="2442"/>
      <c r="O667" s="2442"/>
      <c r="P667" s="2442"/>
      <c r="Q667" s="2443"/>
      <c r="R667" s="878">
        <f>VLOOKUP(A668,'12 - FINANCEIRA'!_xlnm.Print_Area,8,FALSE)</f>
        <v>0</v>
      </c>
      <c r="S667" s="879" t="str">
        <f>L666</f>
        <v>m</v>
      </c>
      <c r="T667" s="680"/>
      <c r="U667" s="663"/>
      <c r="V667" s="1314">
        <f>V668</f>
        <v>350</v>
      </c>
      <c r="AB667" s="15"/>
    </row>
    <row r="668" spans="1:36" s="8" customFormat="1" ht="15.75">
      <c r="A668" s="516" t="s">
        <v>957</v>
      </c>
      <c r="B668" s="877"/>
      <c r="C668" s="113"/>
      <c r="D668" s="2447"/>
      <c r="E668" s="2448"/>
      <c r="F668" s="2448"/>
      <c r="G668" s="2448"/>
      <c r="H668" s="2448"/>
      <c r="I668" s="2449"/>
      <c r="J668" s="2452"/>
      <c r="K668" s="2453"/>
      <c r="L668" s="2455"/>
      <c r="M668" s="2456" t="s">
        <v>22</v>
      </c>
      <c r="N668" s="2457"/>
      <c r="O668" s="2457"/>
      <c r="P668" s="2457"/>
      <c r="Q668" s="2458"/>
      <c r="R668" s="521">
        <f>R666-R667</f>
        <v>350</v>
      </c>
      <c r="S668" s="522" t="str">
        <f>L666</f>
        <v>m</v>
      </c>
      <c r="T668" s="680"/>
      <c r="U668" s="663"/>
      <c r="V668" s="1314">
        <f>R668</f>
        <v>350</v>
      </c>
      <c r="AB668" s="15"/>
    </row>
    <row r="669" spans="1:36" s="8" customFormat="1" ht="15.75">
      <c r="A669" s="516"/>
      <c r="B669" s="523"/>
      <c r="C669" s="524"/>
      <c r="D669" s="526"/>
      <c r="E669" s="526"/>
      <c r="F669" s="526"/>
      <c r="G669" s="525"/>
      <c r="H669" s="525"/>
      <c r="I669" s="525"/>
      <c r="J669" s="527"/>
      <c r="K669" s="528"/>
      <c r="L669" s="529"/>
      <c r="M669" s="530"/>
      <c r="N669" s="530"/>
      <c r="O669" s="530"/>
      <c r="P669" s="530"/>
      <c r="Q669" s="530"/>
      <c r="R669" s="531"/>
      <c r="S669" s="532"/>
      <c r="T669" s="533"/>
      <c r="U669" s="534"/>
      <c r="V669" s="1658">
        <f>SUM(V660:V668)</f>
        <v>3150</v>
      </c>
      <c r="AB669" s="15"/>
    </row>
    <row r="670" spans="1:36" s="497" customFormat="1" ht="15.75" hidden="1" customHeight="1">
      <c r="A670" s="495"/>
      <c r="B670" s="2423" t="str">
        <f>VLOOKUP(A682,'12 - FINANCEIRA'!_xlnm.Print_Area,1,FALSE)</f>
        <v>3.2.4</v>
      </c>
      <c r="C670" s="2421" t="str">
        <f>VLOOKUP(A682,'12 - FINANCEIRA'!_xlnm.Print_Area,3,FALSE)</f>
        <v>Tela de aço soldada Telcon Q-138 ou similar, fornecimento e assentamento.</v>
      </c>
      <c r="D670" s="2479" t="s">
        <v>97</v>
      </c>
      <c r="E670" s="2480"/>
      <c r="F670" s="2480"/>
      <c r="G670" s="2480"/>
      <c r="H670" s="2480"/>
      <c r="I670" s="2481"/>
      <c r="J670" s="2416" t="s">
        <v>98</v>
      </c>
      <c r="K670" s="2416" t="s">
        <v>102</v>
      </c>
      <c r="L670" s="2416" t="s">
        <v>103</v>
      </c>
      <c r="M670" s="2416" t="s">
        <v>228</v>
      </c>
      <c r="N670" s="2416" t="s">
        <v>229</v>
      </c>
      <c r="O670" s="2416" t="s">
        <v>229</v>
      </c>
      <c r="P670" s="496" t="s">
        <v>153</v>
      </c>
      <c r="Q670" s="2489" t="s">
        <v>2</v>
      </c>
      <c r="R670" s="2425" t="s">
        <v>2</v>
      </c>
      <c r="S670" s="2416" t="s">
        <v>99</v>
      </c>
      <c r="T670" s="2416" t="s">
        <v>17</v>
      </c>
      <c r="U670" s="2428" t="s">
        <v>362</v>
      </c>
      <c r="V670" s="1314">
        <f>V671</f>
        <v>306.35500000000002</v>
      </c>
      <c r="W670" s="26"/>
      <c r="X670" s="26"/>
      <c r="Y670" s="26"/>
      <c r="Z670" s="27"/>
      <c r="AA670" s="9"/>
      <c r="AB670" s="9"/>
      <c r="AC670" s="9"/>
      <c r="AD670" s="9"/>
      <c r="AE670" s="9"/>
      <c r="AF670" s="9"/>
      <c r="AG670" s="9"/>
      <c r="AH670" s="9"/>
      <c r="AI670" s="9"/>
      <c r="AJ670" s="9"/>
    </row>
    <row r="671" spans="1:36" s="497" customFormat="1" ht="15.75" hidden="1">
      <c r="A671" s="495"/>
      <c r="B671" s="2471" t="e">
        <f>LEFT(#REF!,5)</f>
        <v>#REF!</v>
      </c>
      <c r="C671" s="2472" t="e">
        <f>VLOOKUP(LEFT(#REF!,5),'12 - FINANCEIRA'!_xlnm.Print_Area,2,FALSE)</f>
        <v>#REF!</v>
      </c>
      <c r="D671" s="2430" t="s">
        <v>14</v>
      </c>
      <c r="E671" s="2431"/>
      <c r="F671" s="2432"/>
      <c r="G671" s="2433" t="s">
        <v>15</v>
      </c>
      <c r="H671" s="2434"/>
      <c r="I671" s="2435"/>
      <c r="J671" s="2427"/>
      <c r="K671" s="2427"/>
      <c r="L671" s="2488"/>
      <c r="M671" s="2488"/>
      <c r="N671" s="2488"/>
      <c r="O671" s="2488"/>
      <c r="P671" s="911" t="s">
        <v>104</v>
      </c>
      <c r="Q671" s="2490"/>
      <c r="R671" s="2491"/>
      <c r="S671" s="2488"/>
      <c r="T671" s="2488"/>
      <c r="U671" s="2429"/>
      <c r="V671" s="1314">
        <f>V672</f>
        <v>306.35500000000002</v>
      </c>
      <c r="W671" s="26"/>
      <c r="X671" s="26"/>
      <c r="Y671" s="26"/>
      <c r="Z671" s="27"/>
      <c r="AA671" s="9"/>
      <c r="AB671" s="9"/>
      <c r="AC671" s="9"/>
      <c r="AD671" s="9"/>
      <c r="AE671" s="9"/>
      <c r="AF671" s="9"/>
      <c r="AG671" s="9"/>
      <c r="AH671" s="9"/>
      <c r="AI671" s="9"/>
      <c r="AJ671" s="9"/>
    </row>
    <row r="672" spans="1:36" s="9" customFormat="1" ht="30" hidden="1">
      <c r="A672" s="944"/>
      <c r="B672" s="937"/>
      <c r="C672" s="1551" t="s">
        <v>1088</v>
      </c>
      <c r="D672" s="962">
        <v>0</v>
      </c>
      <c r="E672" s="963" t="s">
        <v>68</v>
      </c>
      <c r="F672" s="964">
        <v>4.9000000000000004</v>
      </c>
      <c r="G672" s="962">
        <v>1</v>
      </c>
      <c r="H672" s="963" t="s">
        <v>68</v>
      </c>
      <c r="I672" s="964">
        <v>3</v>
      </c>
      <c r="J672" s="1538" t="s">
        <v>70</v>
      </c>
      <c r="K672" s="1544"/>
      <c r="L672" s="1779"/>
      <c r="M672" s="1740"/>
      <c r="N672" s="1823">
        <v>30.681000000000001</v>
      </c>
      <c r="O672" s="1645"/>
      <c r="P672" s="1423"/>
      <c r="Q672" s="1824"/>
      <c r="R672" s="1824">
        <f>TRUNC(N672,3)</f>
        <v>30.681000000000001</v>
      </c>
      <c r="S672" s="1647" t="s">
        <v>5</v>
      </c>
      <c r="T672" s="1632" t="s">
        <v>90</v>
      </c>
      <c r="U672" s="1741"/>
      <c r="V672" s="1314">
        <f t="shared" ref="V672:V677" si="82">V673</f>
        <v>306.35500000000002</v>
      </c>
      <c r="W672" s="26"/>
      <c r="X672" s="26"/>
      <c r="Y672" s="26"/>
      <c r="Z672" s="27"/>
      <c r="AA672" s="41"/>
      <c r="AB672" s="42"/>
    </row>
    <row r="673" spans="1:36" s="9" customFormat="1" ht="30" hidden="1">
      <c r="A673" s="944"/>
      <c r="B673" s="1808"/>
      <c r="C673" s="1551" t="s">
        <v>1088</v>
      </c>
      <c r="D673" s="962">
        <v>4</v>
      </c>
      <c r="E673" s="963" t="s">
        <v>68</v>
      </c>
      <c r="F673" s="964">
        <v>16.600000000000001</v>
      </c>
      <c r="G673" s="962">
        <v>5</v>
      </c>
      <c r="H673" s="963" t="s">
        <v>68</v>
      </c>
      <c r="I673" s="964">
        <v>13</v>
      </c>
      <c r="J673" s="1538" t="s">
        <v>70</v>
      </c>
      <c r="K673" s="1638"/>
      <c r="L673" s="1538"/>
      <c r="M673" s="964"/>
      <c r="N673" s="1771">
        <v>36.483999999999995</v>
      </c>
      <c r="O673" s="224"/>
      <c r="P673" s="215"/>
      <c r="Q673" s="974"/>
      <c r="R673" s="974">
        <f t="shared" ref="R673:R678" si="83">TRUNC(N673,3)</f>
        <v>36.484000000000002</v>
      </c>
      <c r="S673" s="1485" t="s">
        <v>5</v>
      </c>
      <c r="T673" s="972" t="s">
        <v>90</v>
      </c>
      <c r="U673" s="956"/>
      <c r="V673" s="1314">
        <f t="shared" si="82"/>
        <v>306.35500000000002</v>
      </c>
      <c r="W673" s="26"/>
      <c r="X673" s="26"/>
      <c r="Y673" s="26"/>
      <c r="Z673" s="27"/>
      <c r="AA673" s="41"/>
      <c r="AB673" s="42"/>
    </row>
    <row r="674" spans="1:36" s="9" customFormat="1" ht="30" hidden="1">
      <c r="A674" s="944"/>
      <c r="B674" s="1808"/>
      <c r="C674" s="1551" t="s">
        <v>1088</v>
      </c>
      <c r="D674" s="962">
        <v>6</v>
      </c>
      <c r="E674" s="963" t="s">
        <v>68</v>
      </c>
      <c r="F674" s="964">
        <v>0</v>
      </c>
      <c r="G674" s="962">
        <v>8</v>
      </c>
      <c r="H674" s="963" t="s">
        <v>68</v>
      </c>
      <c r="I674" s="964">
        <v>10</v>
      </c>
      <c r="J674" s="1538" t="s">
        <v>70</v>
      </c>
      <c r="K674" s="1638"/>
      <c r="L674" s="1538"/>
      <c r="M674" s="964"/>
      <c r="N674" s="1771">
        <v>81.563999999999993</v>
      </c>
      <c r="O674" s="224"/>
      <c r="P674" s="215"/>
      <c r="Q674" s="974"/>
      <c r="R674" s="974">
        <f t="shared" si="83"/>
        <v>81.563999999999993</v>
      </c>
      <c r="S674" s="1485" t="s">
        <v>5</v>
      </c>
      <c r="T674" s="972" t="s">
        <v>90</v>
      </c>
      <c r="U674" s="956"/>
      <c r="V674" s="1314">
        <f t="shared" si="82"/>
        <v>306.35500000000002</v>
      </c>
      <c r="W674" s="26"/>
      <c r="X674" s="26"/>
      <c r="Y674" s="26"/>
      <c r="Z674" s="27"/>
      <c r="AA674" s="41"/>
      <c r="AB674" s="42"/>
    </row>
    <row r="675" spans="1:36" s="9" customFormat="1" ht="30" hidden="1">
      <c r="A675" s="944"/>
      <c r="B675" s="1808"/>
      <c r="C675" s="1551" t="s">
        <v>1088</v>
      </c>
      <c r="D675" s="962">
        <v>14</v>
      </c>
      <c r="E675" s="963" t="s">
        <v>68</v>
      </c>
      <c r="F675" s="964">
        <v>8.3000000000000007</v>
      </c>
      <c r="G675" s="962">
        <v>14</v>
      </c>
      <c r="H675" s="963" t="s">
        <v>68</v>
      </c>
      <c r="I675" s="964">
        <v>13</v>
      </c>
      <c r="J675" s="1538" t="s">
        <v>70</v>
      </c>
      <c r="K675" s="1638"/>
      <c r="L675" s="1538"/>
      <c r="M675" s="964"/>
      <c r="N675" s="1771">
        <v>28.153999999999996</v>
      </c>
      <c r="O675" s="224"/>
      <c r="P675" s="215"/>
      <c r="Q675" s="974"/>
      <c r="R675" s="974">
        <f t="shared" si="83"/>
        <v>28.154</v>
      </c>
      <c r="S675" s="1485" t="s">
        <v>5</v>
      </c>
      <c r="T675" s="972" t="s">
        <v>90</v>
      </c>
      <c r="U675" s="956"/>
      <c r="V675" s="1314">
        <f t="shared" si="82"/>
        <v>306.35500000000002</v>
      </c>
      <c r="W675" s="26"/>
      <c r="X675" s="26"/>
      <c r="Y675" s="26"/>
      <c r="Z675" s="27"/>
      <c r="AA675" s="41"/>
      <c r="AB675" s="42"/>
    </row>
    <row r="676" spans="1:36" s="9" customFormat="1" ht="30" hidden="1">
      <c r="A676" s="944"/>
      <c r="B676" s="1808"/>
      <c r="C676" s="1551" t="s">
        <v>1088</v>
      </c>
      <c r="D676" s="962">
        <v>14</v>
      </c>
      <c r="E676" s="963" t="s">
        <v>68</v>
      </c>
      <c r="F676" s="964">
        <v>15</v>
      </c>
      <c r="G676" s="962">
        <v>15</v>
      </c>
      <c r="H676" s="963" t="s">
        <v>68</v>
      </c>
      <c r="I676" s="964">
        <v>17.3</v>
      </c>
      <c r="J676" s="77" t="s">
        <v>69</v>
      </c>
      <c r="K676" s="973"/>
      <c r="L676" s="215"/>
      <c r="M676" s="964"/>
      <c r="N676" s="1771">
        <v>30.407999999999998</v>
      </c>
      <c r="O676" s="224"/>
      <c r="P676" s="215"/>
      <c r="Q676" s="974"/>
      <c r="R676" s="974">
        <f t="shared" si="83"/>
        <v>30.408000000000001</v>
      </c>
      <c r="S676" s="1485" t="s">
        <v>5</v>
      </c>
      <c r="T676" s="972" t="s">
        <v>90</v>
      </c>
      <c r="U676" s="956"/>
      <c r="V676" s="1314">
        <f t="shared" si="82"/>
        <v>306.35500000000002</v>
      </c>
      <c r="W676" s="26"/>
      <c r="X676" s="26"/>
      <c r="Y676" s="26"/>
      <c r="Z676" s="27"/>
      <c r="AA676" s="41"/>
      <c r="AB676" s="42"/>
    </row>
    <row r="677" spans="1:36" s="9" customFormat="1" ht="30" hidden="1">
      <c r="A677" s="944"/>
      <c r="B677" s="1808"/>
      <c r="C677" s="1770" t="s">
        <v>1089</v>
      </c>
      <c r="D677" s="962">
        <v>104</v>
      </c>
      <c r="E677" s="963" t="s">
        <v>68</v>
      </c>
      <c r="F677" s="964">
        <v>4.8</v>
      </c>
      <c r="G677" s="962">
        <v>105</v>
      </c>
      <c r="H677" s="963" t="s">
        <v>68</v>
      </c>
      <c r="I677" s="964">
        <v>19.399999999999999</v>
      </c>
      <c r="J677" s="1538" t="s">
        <v>70</v>
      </c>
      <c r="K677" s="1638"/>
      <c r="L677" s="1538"/>
      <c r="M677" s="964"/>
      <c r="N677" s="1771">
        <v>49.881999999999998</v>
      </c>
      <c r="O677" s="224"/>
      <c r="P677" s="215"/>
      <c r="Q677" s="974"/>
      <c r="R677" s="974">
        <f t="shared" si="83"/>
        <v>49.881999999999998</v>
      </c>
      <c r="S677" s="1485" t="s">
        <v>5</v>
      </c>
      <c r="T677" s="972" t="s">
        <v>90</v>
      </c>
      <c r="U677" s="956"/>
      <c r="V677" s="1314">
        <f t="shared" si="82"/>
        <v>306.35500000000002</v>
      </c>
      <c r="W677" s="26"/>
      <c r="X677" s="26"/>
      <c r="Y677" s="26"/>
      <c r="Z677" s="27"/>
      <c r="AA677" s="41"/>
      <c r="AB677" s="42"/>
    </row>
    <row r="678" spans="1:36" s="8" customFormat="1" ht="30" hidden="1">
      <c r="A678" s="516"/>
      <c r="B678" s="924"/>
      <c r="C678" s="1770" t="s">
        <v>1089</v>
      </c>
      <c r="D678" s="962">
        <v>108</v>
      </c>
      <c r="E678" s="963" t="s">
        <v>68</v>
      </c>
      <c r="F678" s="964">
        <v>0</v>
      </c>
      <c r="G678" s="962">
        <v>109</v>
      </c>
      <c r="H678" s="963" t="s">
        <v>68</v>
      </c>
      <c r="I678" s="964">
        <v>12</v>
      </c>
      <c r="J678" s="1538" t="s">
        <v>69</v>
      </c>
      <c r="K678" s="1638"/>
      <c r="L678" s="1538"/>
      <c r="M678" s="964"/>
      <c r="N678" s="1771">
        <v>49.182000000000002</v>
      </c>
      <c r="O678" s="224"/>
      <c r="P678" s="215"/>
      <c r="Q678" s="974"/>
      <c r="R678" s="974">
        <f t="shared" si="83"/>
        <v>49.182000000000002</v>
      </c>
      <c r="S678" s="1485" t="s">
        <v>5</v>
      </c>
      <c r="T678" s="972" t="s">
        <v>90</v>
      </c>
      <c r="U678" s="956"/>
      <c r="V678" s="1314">
        <f t="shared" ref="V678:V679" si="84">V679</f>
        <v>306.35500000000002</v>
      </c>
      <c r="W678" s="938"/>
      <c r="X678" s="938"/>
      <c r="Y678" s="938"/>
      <c r="Z678" s="939"/>
    </row>
    <row r="679" spans="1:36" s="8" customFormat="1" ht="15" hidden="1">
      <c r="A679" s="516"/>
      <c r="B679" s="59"/>
      <c r="C679" s="1809"/>
      <c r="D679" s="1810"/>
      <c r="E679" s="1811"/>
      <c r="F679" s="1812"/>
      <c r="G679" s="1813"/>
      <c r="H679" s="1811"/>
      <c r="I679" s="1814"/>
      <c r="J679" s="1815"/>
      <c r="K679" s="1448"/>
      <c r="L679" s="1815"/>
      <c r="M679" s="1816"/>
      <c r="N679" s="1817"/>
      <c r="O679" s="1818"/>
      <c r="P679" s="1819"/>
      <c r="Q679" s="1820"/>
      <c r="R679" s="1821"/>
      <c r="S679" s="1822"/>
      <c r="T679" s="1477"/>
      <c r="U679" s="1495"/>
      <c r="V679" s="1314">
        <f t="shared" si="84"/>
        <v>306.35500000000002</v>
      </c>
      <c r="AB679" s="15"/>
    </row>
    <row r="680" spans="1:36" s="8" customFormat="1" ht="15.75" hidden="1" customHeight="1">
      <c r="A680" s="516"/>
      <c r="B680" s="923"/>
      <c r="C680" s="891"/>
      <c r="D680" s="2436" t="s">
        <v>18</v>
      </c>
      <c r="E680" s="2437"/>
      <c r="F680" s="2437"/>
      <c r="G680" s="2437"/>
      <c r="H680" s="2437"/>
      <c r="I680" s="2438"/>
      <c r="J680" s="2439">
        <f>VLOOKUP(A682,'12 - FINANCEIRA'!_xlnm.Print_Area,6,FALSE)</f>
        <v>308</v>
      </c>
      <c r="K680" s="2440"/>
      <c r="L680" s="519" t="str">
        <f>VLOOKUP(A682,'12 - FINANCEIRA'!_xlnm.Print_Area,4,FALSE)</f>
        <v>m²</v>
      </c>
      <c r="M680" s="2441" t="s">
        <v>19</v>
      </c>
      <c r="N680" s="2442"/>
      <c r="O680" s="2442"/>
      <c r="P680" s="2442"/>
      <c r="Q680" s="2443"/>
      <c r="R680" s="878">
        <f>SUM(R672:R679)</f>
        <v>306.35500000000002</v>
      </c>
      <c r="S680" s="520" t="str">
        <f>L680</f>
        <v>m²</v>
      </c>
      <c r="T680" s="661"/>
      <c r="U680" s="662"/>
      <c r="V680" s="1314">
        <f>V681</f>
        <v>306.35500000000002</v>
      </c>
      <c r="AB680" s="15"/>
    </row>
    <row r="681" spans="1:36" s="8" customFormat="1" ht="15.75" hidden="1">
      <c r="A681" s="516"/>
      <c r="B681" s="877"/>
      <c r="C681" s="681"/>
      <c r="D681" s="2444" t="s">
        <v>20</v>
      </c>
      <c r="E681" s="2445"/>
      <c r="F681" s="2445"/>
      <c r="G681" s="2445"/>
      <c r="H681" s="2445"/>
      <c r="I681" s="2446"/>
      <c r="J681" s="2450">
        <f>R680/J680</f>
        <v>0.99465909090909099</v>
      </c>
      <c r="K681" s="2451"/>
      <c r="L681" s="2454"/>
      <c r="M681" s="2441" t="s">
        <v>21</v>
      </c>
      <c r="N681" s="2442"/>
      <c r="O681" s="2442"/>
      <c r="P681" s="2442"/>
      <c r="Q681" s="2443"/>
      <c r="R681" s="878">
        <f>VLOOKUP(A682,'12 - FINANCEIRA'!_xlnm.Print_Area,8,FALSE)</f>
        <v>0</v>
      </c>
      <c r="S681" s="879" t="str">
        <f>L680</f>
        <v>m²</v>
      </c>
      <c r="T681" s="680"/>
      <c r="U681" s="663"/>
      <c r="V681" s="1314">
        <f>V682</f>
        <v>306.35500000000002</v>
      </c>
      <c r="AB681" s="15"/>
    </row>
    <row r="682" spans="1:36" s="8" customFormat="1" ht="15.75" hidden="1">
      <c r="A682" s="516" t="s">
        <v>959</v>
      </c>
      <c r="B682" s="880"/>
      <c r="C682" s="885"/>
      <c r="D682" s="2475"/>
      <c r="E682" s="2460"/>
      <c r="F682" s="2460"/>
      <c r="G682" s="2460"/>
      <c r="H682" s="2460"/>
      <c r="I682" s="2476"/>
      <c r="J682" s="2477"/>
      <c r="K682" s="2478"/>
      <c r="L682" s="2483"/>
      <c r="M682" s="2441" t="s">
        <v>22</v>
      </c>
      <c r="N682" s="2442"/>
      <c r="O682" s="2442"/>
      <c r="P682" s="2442"/>
      <c r="Q682" s="2443"/>
      <c r="R682" s="878">
        <f>R680-R681</f>
        <v>306.35500000000002</v>
      </c>
      <c r="S682" s="879" t="str">
        <f>L680</f>
        <v>m²</v>
      </c>
      <c r="T682" s="886"/>
      <c r="U682" s="881"/>
      <c r="V682" s="1314">
        <f>R682</f>
        <v>306.35500000000002</v>
      </c>
      <c r="AB682" s="15"/>
    </row>
    <row r="683" spans="1:36" s="8" customFormat="1" ht="15.75" hidden="1">
      <c r="A683" s="516"/>
      <c r="B683" s="523"/>
      <c r="C683" s="524"/>
      <c r="D683" s="526"/>
      <c r="E683" s="526"/>
      <c r="F683" s="526"/>
      <c r="G683" s="525"/>
      <c r="H683" s="525"/>
      <c r="I683" s="525"/>
      <c r="J683" s="527"/>
      <c r="K683" s="528"/>
      <c r="L683" s="529"/>
      <c r="M683" s="530"/>
      <c r="N683" s="530"/>
      <c r="O683" s="530"/>
      <c r="P683" s="530"/>
      <c r="Q683" s="530"/>
      <c r="R683" s="531"/>
      <c r="S683" s="532"/>
      <c r="T683" s="533"/>
      <c r="U683" s="534"/>
      <c r="V683" s="1658">
        <f>SUM(V670:V682)</f>
        <v>3982.6150000000002</v>
      </c>
      <c r="AB683" s="15"/>
    </row>
    <row r="684" spans="1:36" s="497" customFormat="1" ht="15.75" customHeight="1">
      <c r="A684" s="495"/>
      <c r="B684" s="2423" t="str">
        <f>VLOOKUP(A738,'12 - FINANCEIRA'!_xlnm.Print_Area,1,FALSE)</f>
        <v>3.2.5</v>
      </c>
      <c r="C684" s="2421" t="str">
        <f>VLOOKUP(A738,'12 - FINANCEIRA'!_xlnm.Print_Area,3,FALSE)</f>
        <v>Caixa ralo em blocos pré-moldados e grelha articulada em FFA em Vias Urbanas</v>
      </c>
      <c r="D684" s="2479" t="s">
        <v>97</v>
      </c>
      <c r="E684" s="2480"/>
      <c r="F684" s="2480"/>
      <c r="G684" s="2480"/>
      <c r="H684" s="2480"/>
      <c r="I684" s="2481"/>
      <c r="J684" s="2416" t="s">
        <v>98</v>
      </c>
      <c r="K684" s="2416" t="s">
        <v>102</v>
      </c>
      <c r="L684" s="2416" t="s">
        <v>103</v>
      </c>
      <c r="M684" s="2416" t="s">
        <v>228</v>
      </c>
      <c r="N684" s="2416" t="s">
        <v>229</v>
      </c>
      <c r="O684" s="2416" t="s">
        <v>107</v>
      </c>
      <c r="P684" s="2416" t="s">
        <v>1030</v>
      </c>
      <c r="Q684" s="2425" t="s">
        <v>2</v>
      </c>
      <c r="R684" s="2425" t="s">
        <v>2</v>
      </c>
      <c r="S684" s="2416" t="s">
        <v>99</v>
      </c>
      <c r="T684" s="2416" t="s">
        <v>17</v>
      </c>
      <c r="U684" s="2428" t="s">
        <v>362</v>
      </c>
      <c r="V684" s="1314">
        <f t="shared" ref="V684:V725" si="85">V685</f>
        <v>50</v>
      </c>
      <c r="W684" s="26"/>
      <c r="X684" s="26"/>
      <c r="Y684" s="26"/>
      <c r="Z684" s="27"/>
      <c r="AA684" s="9"/>
      <c r="AB684" s="9"/>
      <c r="AC684" s="9"/>
      <c r="AD684" s="9"/>
      <c r="AE684" s="9"/>
      <c r="AF684" s="9"/>
      <c r="AG684" s="9"/>
      <c r="AH684" s="9"/>
      <c r="AI684" s="9"/>
      <c r="AJ684" s="9"/>
    </row>
    <row r="685" spans="1:36" s="497" customFormat="1" ht="15.75">
      <c r="A685" s="495"/>
      <c r="B685" s="2471" t="e">
        <f>LEFT(#REF!,5)</f>
        <v>#REF!</v>
      </c>
      <c r="C685" s="2472" t="e">
        <f>VLOOKUP(LEFT(#REF!,5),'12 - FINANCEIRA'!_xlnm.Print_Area,2,FALSE)</f>
        <v>#REF!</v>
      </c>
      <c r="D685" s="2430" t="s">
        <v>14</v>
      </c>
      <c r="E685" s="2431"/>
      <c r="F685" s="2432"/>
      <c r="G685" s="2433" t="s">
        <v>15</v>
      </c>
      <c r="H685" s="2434"/>
      <c r="I685" s="2435"/>
      <c r="J685" s="2427"/>
      <c r="K685" s="2427"/>
      <c r="L685" s="2427"/>
      <c r="M685" s="2427"/>
      <c r="N685" s="2427"/>
      <c r="O685" s="2427"/>
      <c r="P685" s="2417"/>
      <c r="Q685" s="2473"/>
      <c r="R685" s="2426"/>
      <c r="S685" s="2427"/>
      <c r="T685" s="2427"/>
      <c r="U685" s="2429"/>
      <c r="V685" s="1314">
        <f t="shared" si="85"/>
        <v>50</v>
      </c>
      <c r="W685" s="26"/>
      <c r="X685" s="26"/>
      <c r="Y685" s="26"/>
      <c r="Z685" s="27"/>
      <c r="AA685" s="9"/>
      <c r="AB685" s="9"/>
      <c r="AC685" s="9"/>
      <c r="AD685" s="9"/>
      <c r="AE685" s="9"/>
      <c r="AF685" s="9"/>
      <c r="AG685" s="9"/>
      <c r="AH685" s="9"/>
      <c r="AI685" s="9"/>
      <c r="AJ685" s="9"/>
    </row>
    <row r="686" spans="1:36" s="9" customFormat="1" ht="30">
      <c r="A686" s="944"/>
      <c r="B686" s="922"/>
      <c r="C686" s="1551" t="s">
        <v>1009</v>
      </c>
      <c r="D686" s="1351">
        <v>0</v>
      </c>
      <c r="E686" s="1629" t="s">
        <v>68</v>
      </c>
      <c r="F686" s="1353">
        <v>5</v>
      </c>
      <c r="G686" s="1630"/>
      <c r="H686" s="1629"/>
      <c r="I686" s="1631"/>
      <c r="J686" s="1539" t="s">
        <v>69</v>
      </c>
      <c r="K686" s="1544"/>
      <c r="L686" s="1539"/>
      <c r="M686" s="1538"/>
      <c r="N686" s="1615"/>
      <c r="O686" s="1360"/>
      <c r="P686" s="1358"/>
      <c r="Q686" s="1617"/>
      <c r="R686" s="1735">
        <v>1</v>
      </c>
      <c r="S686" s="77" t="s">
        <v>101</v>
      </c>
      <c r="T686" s="972" t="s">
        <v>90</v>
      </c>
      <c r="U686" s="1741" t="s">
        <v>1064</v>
      </c>
      <c r="V686" s="1314">
        <f t="shared" si="85"/>
        <v>50</v>
      </c>
      <c r="W686" s="26"/>
      <c r="X686" s="26"/>
      <c r="Y686" s="26"/>
      <c r="Z686" s="27"/>
      <c r="AA686" s="41"/>
      <c r="AB686" s="42"/>
    </row>
    <row r="687" spans="1:36" s="9" customFormat="1" ht="30">
      <c r="A687" s="944"/>
      <c r="B687" s="922"/>
      <c r="C687" s="1551" t="s">
        <v>1009</v>
      </c>
      <c r="D687" s="1351">
        <v>0</v>
      </c>
      <c r="E687" s="1629" t="s">
        <v>68</v>
      </c>
      <c r="F687" s="1353">
        <v>5</v>
      </c>
      <c r="G687" s="1630"/>
      <c r="H687" s="1629"/>
      <c r="I687" s="1631"/>
      <c r="J687" s="1539" t="s">
        <v>70</v>
      </c>
      <c r="K687" s="1544"/>
      <c r="L687" s="1539"/>
      <c r="M687" s="1538"/>
      <c r="N687" s="1615"/>
      <c r="O687" s="1360"/>
      <c r="P687" s="1358"/>
      <c r="Q687" s="1617"/>
      <c r="R687" s="1735">
        <v>1</v>
      </c>
      <c r="S687" s="77" t="s">
        <v>101</v>
      </c>
      <c r="T687" s="972" t="s">
        <v>90</v>
      </c>
      <c r="U687" s="1694" t="s">
        <v>1064</v>
      </c>
      <c r="V687" s="1314">
        <f t="shared" si="85"/>
        <v>50</v>
      </c>
      <c r="W687" s="26"/>
      <c r="X687" s="26"/>
      <c r="Y687" s="26"/>
      <c r="Z687" s="27"/>
      <c r="AA687" s="41"/>
      <c r="AB687" s="42"/>
    </row>
    <row r="688" spans="1:36" s="9" customFormat="1" ht="30">
      <c r="A688" s="944"/>
      <c r="B688" s="922"/>
      <c r="C688" s="1551" t="s">
        <v>1009</v>
      </c>
      <c r="D688" s="1351">
        <v>1</v>
      </c>
      <c r="E688" s="1629" t="s">
        <v>68</v>
      </c>
      <c r="F688" s="1353">
        <v>11</v>
      </c>
      <c r="G688" s="1630"/>
      <c r="H688" s="1629"/>
      <c r="I688" s="1631"/>
      <c r="J688" s="1539" t="s">
        <v>69</v>
      </c>
      <c r="K688" s="1544"/>
      <c r="L688" s="1539"/>
      <c r="M688" s="1538"/>
      <c r="N688" s="1615"/>
      <c r="O688" s="1360"/>
      <c r="P688" s="1358"/>
      <c r="Q688" s="1617"/>
      <c r="R688" s="1735">
        <v>1</v>
      </c>
      <c r="S688" s="1356" t="s">
        <v>101</v>
      </c>
      <c r="T688" s="972" t="s">
        <v>90</v>
      </c>
      <c r="U688" s="1694" t="s">
        <v>1064</v>
      </c>
      <c r="V688" s="1314">
        <f t="shared" si="85"/>
        <v>50</v>
      </c>
      <c r="W688" s="26"/>
      <c r="X688" s="26"/>
      <c r="Y688" s="26"/>
      <c r="Z688" s="27"/>
      <c r="AA688" s="41"/>
      <c r="AB688" s="42"/>
    </row>
    <row r="689" spans="1:28" s="9" customFormat="1" ht="30">
      <c r="A689" s="944"/>
      <c r="B689" s="922"/>
      <c r="C689" s="1551" t="s">
        <v>1009</v>
      </c>
      <c r="D689" s="1351">
        <v>1</v>
      </c>
      <c r="E689" s="1629" t="s">
        <v>68</v>
      </c>
      <c r="F689" s="1353">
        <v>11</v>
      </c>
      <c r="G689" s="1630"/>
      <c r="H689" s="1629"/>
      <c r="I689" s="1631"/>
      <c r="J689" s="1539" t="s">
        <v>70</v>
      </c>
      <c r="K689" s="1544"/>
      <c r="L689" s="1539"/>
      <c r="M689" s="1538"/>
      <c r="N689" s="1615"/>
      <c r="O689" s="1360"/>
      <c r="P689" s="1358"/>
      <c r="Q689" s="1617"/>
      <c r="R689" s="1735">
        <v>1</v>
      </c>
      <c r="S689" s="1356" t="s">
        <v>101</v>
      </c>
      <c r="T689" s="972" t="s">
        <v>90</v>
      </c>
      <c r="U689" s="1694" t="s">
        <v>1064</v>
      </c>
      <c r="V689" s="1314">
        <f t="shared" si="85"/>
        <v>50</v>
      </c>
      <c r="W689" s="26"/>
      <c r="X689" s="26"/>
      <c r="Y689" s="26"/>
      <c r="Z689" s="27"/>
      <c r="AA689" s="41"/>
      <c r="AB689" s="42"/>
    </row>
    <row r="690" spans="1:28" s="9" customFormat="1" ht="30">
      <c r="A690" s="944"/>
      <c r="B690" s="922"/>
      <c r="C690" s="1551" t="s">
        <v>1009</v>
      </c>
      <c r="D690" s="1351">
        <v>2</v>
      </c>
      <c r="E690" s="1629" t="s">
        <v>68</v>
      </c>
      <c r="F690" s="1353">
        <v>13</v>
      </c>
      <c r="G690" s="1630"/>
      <c r="H690" s="1629"/>
      <c r="I690" s="1631"/>
      <c r="J690" s="1539" t="s">
        <v>69</v>
      </c>
      <c r="K690" s="1544"/>
      <c r="L690" s="1539"/>
      <c r="M690" s="1538"/>
      <c r="N690" s="1615"/>
      <c r="O690" s="1360"/>
      <c r="P690" s="1358"/>
      <c r="Q690" s="1617"/>
      <c r="R690" s="1735">
        <v>1</v>
      </c>
      <c r="S690" s="1356" t="s">
        <v>101</v>
      </c>
      <c r="T690" s="972" t="s">
        <v>90</v>
      </c>
      <c r="U690" s="1694" t="s">
        <v>1064</v>
      </c>
      <c r="V690" s="1314">
        <f t="shared" si="85"/>
        <v>50</v>
      </c>
      <c r="W690" s="26"/>
      <c r="X690" s="26"/>
      <c r="Y690" s="26"/>
      <c r="Z690" s="27"/>
      <c r="AA690" s="41"/>
      <c r="AB690" s="42"/>
    </row>
    <row r="691" spans="1:28" s="9" customFormat="1" ht="30">
      <c r="A691" s="944"/>
      <c r="B691" s="922"/>
      <c r="C691" s="1551" t="s">
        <v>1009</v>
      </c>
      <c r="D691" s="1351">
        <v>2</v>
      </c>
      <c r="E691" s="1629" t="s">
        <v>68</v>
      </c>
      <c r="F691" s="1353">
        <v>13</v>
      </c>
      <c r="G691" s="1630"/>
      <c r="H691" s="1629"/>
      <c r="I691" s="1631"/>
      <c r="J691" s="1539" t="s">
        <v>70</v>
      </c>
      <c r="K691" s="1544"/>
      <c r="L691" s="1539"/>
      <c r="M691" s="1538"/>
      <c r="N691" s="1615"/>
      <c r="O691" s="1360"/>
      <c r="P691" s="1358"/>
      <c r="Q691" s="1617"/>
      <c r="R691" s="1735">
        <v>1</v>
      </c>
      <c r="S691" s="1356" t="s">
        <v>101</v>
      </c>
      <c r="T691" s="972" t="s">
        <v>90</v>
      </c>
      <c r="U691" s="1694" t="s">
        <v>1064</v>
      </c>
      <c r="V691" s="1314">
        <f t="shared" si="85"/>
        <v>50</v>
      </c>
      <c r="W691" s="26"/>
      <c r="X691" s="26"/>
      <c r="Y691" s="26"/>
      <c r="Z691" s="27"/>
      <c r="AA691" s="41"/>
      <c r="AB691" s="42"/>
    </row>
    <row r="692" spans="1:28" s="9" customFormat="1" ht="30">
      <c r="A692" s="944"/>
      <c r="B692" s="922"/>
      <c r="C692" s="1770" t="s">
        <v>1009</v>
      </c>
      <c r="D692" s="962">
        <v>3</v>
      </c>
      <c r="E692" s="1737" t="s">
        <v>68</v>
      </c>
      <c r="F692" s="964">
        <v>3.5</v>
      </c>
      <c r="G692" s="1952"/>
      <c r="H692" s="1737"/>
      <c r="I692" s="1953"/>
      <c r="J692" s="1538" t="s">
        <v>69</v>
      </c>
      <c r="K692" s="1638"/>
      <c r="L692" s="1538"/>
      <c r="M692" s="1538"/>
      <c r="N692" s="1954"/>
      <c r="O692" s="224"/>
      <c r="P692" s="215"/>
      <c r="Q692" s="971"/>
      <c r="R692" s="1554">
        <v>1</v>
      </c>
      <c r="S692" s="77" t="s">
        <v>101</v>
      </c>
      <c r="T692" s="972" t="s">
        <v>90</v>
      </c>
      <c r="U692" s="956" t="s">
        <v>1064</v>
      </c>
      <c r="V692" s="1314">
        <f t="shared" si="85"/>
        <v>50</v>
      </c>
      <c r="W692" s="26"/>
      <c r="X692" s="26"/>
      <c r="Y692" s="26"/>
      <c r="Z692" s="27"/>
      <c r="AA692" s="41"/>
      <c r="AB692" s="42"/>
    </row>
    <row r="693" spans="1:28" s="9" customFormat="1" ht="30">
      <c r="A693" s="944"/>
      <c r="B693" s="1479"/>
      <c r="C693" s="1943" t="s">
        <v>1009</v>
      </c>
      <c r="D693" s="1048">
        <v>3</v>
      </c>
      <c r="E693" s="1948" t="s">
        <v>68</v>
      </c>
      <c r="F693" s="1050">
        <v>3.5</v>
      </c>
      <c r="G693" s="1949"/>
      <c r="H693" s="1948"/>
      <c r="I693" s="1950"/>
      <c r="J693" s="1906" t="s">
        <v>70</v>
      </c>
      <c r="K693" s="1944"/>
      <c r="L693" s="1906"/>
      <c r="M693" s="1906"/>
      <c r="N693" s="1951"/>
      <c r="O693" s="984"/>
      <c r="P693" s="982"/>
      <c r="Q693" s="1041"/>
      <c r="R693" s="1911">
        <v>1</v>
      </c>
      <c r="S693" s="1051" t="s">
        <v>101</v>
      </c>
      <c r="T693" s="986" t="s">
        <v>90</v>
      </c>
      <c r="U693" s="1694" t="s">
        <v>1064</v>
      </c>
      <c r="V693" s="1314">
        <f t="shared" si="85"/>
        <v>50</v>
      </c>
      <c r="W693" s="26"/>
      <c r="X693" s="26"/>
      <c r="Y693" s="26"/>
      <c r="Z693" s="27"/>
      <c r="AA693" s="41"/>
      <c r="AB693" s="42"/>
    </row>
    <row r="694" spans="1:28" s="9" customFormat="1" ht="30">
      <c r="A694" s="944"/>
      <c r="B694" s="922"/>
      <c r="C694" s="1551" t="s">
        <v>1009</v>
      </c>
      <c r="D694" s="1351">
        <v>4</v>
      </c>
      <c r="E694" s="1629" t="s">
        <v>68</v>
      </c>
      <c r="F694" s="1353">
        <v>0</v>
      </c>
      <c r="G694" s="1630"/>
      <c r="H694" s="1629"/>
      <c r="I694" s="1631"/>
      <c r="J694" s="1539" t="s">
        <v>69</v>
      </c>
      <c r="K694" s="1544"/>
      <c r="L694" s="1539"/>
      <c r="M694" s="1538"/>
      <c r="N694" s="1615"/>
      <c r="O694" s="1360"/>
      <c r="P694" s="1358"/>
      <c r="Q694" s="1617"/>
      <c r="R694" s="1735">
        <v>1</v>
      </c>
      <c r="S694" s="1356" t="s">
        <v>101</v>
      </c>
      <c r="T694" s="972" t="s">
        <v>90</v>
      </c>
      <c r="U694" s="1694" t="s">
        <v>1064</v>
      </c>
      <c r="V694" s="1314">
        <f t="shared" si="85"/>
        <v>50</v>
      </c>
      <c r="W694" s="26"/>
      <c r="X694" s="26"/>
      <c r="Y694" s="26"/>
      <c r="Z694" s="27"/>
      <c r="AA694" s="41"/>
      <c r="AB694" s="42"/>
    </row>
    <row r="695" spans="1:28" s="9" customFormat="1" ht="30">
      <c r="A695" s="944"/>
      <c r="B695" s="922"/>
      <c r="C695" s="1551" t="s">
        <v>1009</v>
      </c>
      <c r="D695" s="1351">
        <v>4</v>
      </c>
      <c r="E695" s="1629" t="s">
        <v>68</v>
      </c>
      <c r="F695" s="1353">
        <v>0</v>
      </c>
      <c r="G695" s="1630"/>
      <c r="H695" s="1629"/>
      <c r="I695" s="1631"/>
      <c r="J695" s="1539" t="s">
        <v>70</v>
      </c>
      <c r="K695" s="1544"/>
      <c r="L695" s="1539"/>
      <c r="M695" s="1538"/>
      <c r="N695" s="1615"/>
      <c r="O695" s="1360"/>
      <c r="P695" s="1358"/>
      <c r="Q695" s="1617"/>
      <c r="R695" s="1735">
        <v>1</v>
      </c>
      <c r="S695" s="1356" t="s">
        <v>101</v>
      </c>
      <c r="T695" s="972" t="s">
        <v>90</v>
      </c>
      <c r="U695" s="1694" t="s">
        <v>1064</v>
      </c>
      <c r="V695" s="1314">
        <f t="shared" si="85"/>
        <v>50</v>
      </c>
      <c r="W695" s="26"/>
      <c r="X695" s="26"/>
      <c r="Y695" s="26"/>
      <c r="Z695" s="27"/>
      <c r="AA695" s="41"/>
      <c r="AB695" s="42"/>
    </row>
    <row r="696" spans="1:28" s="9" customFormat="1" ht="30">
      <c r="A696" s="944"/>
      <c r="B696" s="922"/>
      <c r="C696" s="1551" t="s">
        <v>1009</v>
      </c>
      <c r="D696" s="1351">
        <v>5</v>
      </c>
      <c r="E696" s="1629" t="s">
        <v>68</v>
      </c>
      <c r="F696" s="1353">
        <v>12.5</v>
      </c>
      <c r="G696" s="1630"/>
      <c r="H696" s="1629"/>
      <c r="I696" s="1631"/>
      <c r="J696" s="1539" t="s">
        <v>69</v>
      </c>
      <c r="K696" s="1544"/>
      <c r="L696" s="1539"/>
      <c r="M696" s="1538"/>
      <c r="N696" s="1615"/>
      <c r="O696" s="1360"/>
      <c r="P696" s="1358"/>
      <c r="Q696" s="1617"/>
      <c r="R696" s="1735">
        <v>1</v>
      </c>
      <c r="S696" s="1356" t="s">
        <v>101</v>
      </c>
      <c r="T696" s="972" t="s">
        <v>90</v>
      </c>
      <c r="U696" s="1694" t="s">
        <v>1065</v>
      </c>
      <c r="V696" s="1314">
        <f t="shared" si="85"/>
        <v>50</v>
      </c>
      <c r="W696" s="26"/>
      <c r="X696" s="26"/>
      <c r="Y696" s="26"/>
      <c r="Z696" s="27"/>
      <c r="AA696" s="41"/>
      <c r="AB696" s="42"/>
    </row>
    <row r="697" spans="1:28" s="9" customFormat="1" ht="30">
      <c r="A697" s="944"/>
      <c r="B697" s="922"/>
      <c r="C697" s="1551" t="s">
        <v>1009</v>
      </c>
      <c r="D697" s="1351">
        <v>5</v>
      </c>
      <c r="E697" s="1629" t="s">
        <v>68</v>
      </c>
      <c r="F697" s="1353">
        <v>12.5</v>
      </c>
      <c r="G697" s="1630"/>
      <c r="H697" s="1629"/>
      <c r="I697" s="1631"/>
      <c r="J697" s="1539" t="s">
        <v>70</v>
      </c>
      <c r="K697" s="1544"/>
      <c r="L697" s="1539"/>
      <c r="M697" s="1538"/>
      <c r="N697" s="1615"/>
      <c r="O697" s="1360"/>
      <c r="P697" s="1358"/>
      <c r="Q697" s="1617"/>
      <c r="R697" s="1735">
        <v>1</v>
      </c>
      <c r="S697" s="1356" t="s">
        <v>101</v>
      </c>
      <c r="T697" s="972" t="s">
        <v>90</v>
      </c>
      <c r="U697" s="1694" t="s">
        <v>1065</v>
      </c>
      <c r="V697" s="1314">
        <f t="shared" si="85"/>
        <v>50</v>
      </c>
      <c r="W697" s="26"/>
      <c r="X697" s="26"/>
      <c r="Y697" s="26"/>
      <c r="Z697" s="27"/>
      <c r="AA697" s="41"/>
      <c r="AB697" s="42"/>
    </row>
    <row r="698" spans="1:28" s="9" customFormat="1" ht="30">
      <c r="A698" s="944"/>
      <c r="B698" s="922"/>
      <c r="C698" s="1551" t="s">
        <v>1009</v>
      </c>
      <c r="D698" s="1351">
        <v>6</v>
      </c>
      <c r="E698" s="1629" t="s">
        <v>68</v>
      </c>
      <c r="F698" s="1353">
        <v>0</v>
      </c>
      <c r="G698" s="1630"/>
      <c r="H698" s="1629"/>
      <c r="I698" s="1631"/>
      <c r="J698" s="1539" t="s">
        <v>69</v>
      </c>
      <c r="K698" s="1544"/>
      <c r="L698" s="1539"/>
      <c r="M698" s="1538"/>
      <c r="N698" s="1615"/>
      <c r="O698" s="1360"/>
      <c r="P698" s="1358"/>
      <c r="Q698" s="1617"/>
      <c r="R698" s="1735">
        <v>1</v>
      </c>
      <c r="S698" s="1356" t="s">
        <v>101</v>
      </c>
      <c r="T698" s="972" t="s">
        <v>90</v>
      </c>
      <c r="U698" s="1694" t="s">
        <v>1065</v>
      </c>
      <c r="V698" s="1314">
        <f t="shared" si="85"/>
        <v>50</v>
      </c>
      <c r="W698" s="26"/>
      <c r="X698" s="26"/>
      <c r="Y698" s="26"/>
      <c r="Z698" s="27"/>
      <c r="AA698" s="41"/>
      <c r="AB698" s="42"/>
    </row>
    <row r="699" spans="1:28" s="9" customFormat="1" ht="30">
      <c r="A699" s="944"/>
      <c r="B699" s="925"/>
      <c r="C699" s="1746" t="s">
        <v>1009</v>
      </c>
      <c r="D699" s="1096">
        <v>6</v>
      </c>
      <c r="E699" s="1747" t="s">
        <v>68</v>
      </c>
      <c r="F699" s="1098">
        <v>0</v>
      </c>
      <c r="G699" s="1872"/>
      <c r="H699" s="1747"/>
      <c r="I699" s="1749"/>
      <c r="J699" s="1750" t="s">
        <v>70</v>
      </c>
      <c r="K699" s="1764"/>
      <c r="L699" s="1750"/>
      <c r="M699" s="1750"/>
      <c r="N699" s="1873"/>
      <c r="O699" s="979"/>
      <c r="P699" s="978"/>
      <c r="Q699" s="987"/>
      <c r="R699" s="1743">
        <v>1</v>
      </c>
      <c r="S699" s="1101" t="s">
        <v>101</v>
      </c>
      <c r="T699" s="1027" t="s">
        <v>90</v>
      </c>
      <c r="U699" s="1078" t="s">
        <v>1065</v>
      </c>
      <c r="V699" s="1314">
        <f t="shared" si="85"/>
        <v>50</v>
      </c>
      <c r="W699" s="26"/>
      <c r="X699" s="26"/>
      <c r="Y699" s="26"/>
      <c r="Z699" s="27"/>
      <c r="AA699" s="41"/>
      <c r="AB699" s="42"/>
    </row>
    <row r="700" spans="1:28" s="9" customFormat="1" ht="30">
      <c r="A700" s="944"/>
      <c r="B700" s="921"/>
      <c r="C700" s="1874" t="s">
        <v>1009</v>
      </c>
      <c r="D700" s="1738">
        <v>7</v>
      </c>
      <c r="E700" s="1875" t="s">
        <v>68</v>
      </c>
      <c r="F700" s="1740">
        <v>4</v>
      </c>
      <c r="G700" s="1876"/>
      <c r="H700" s="1875"/>
      <c r="I700" s="1877"/>
      <c r="J700" s="1779" t="s">
        <v>69</v>
      </c>
      <c r="K700" s="1878"/>
      <c r="L700" s="1779"/>
      <c r="M700" s="1779"/>
      <c r="N700" s="1879"/>
      <c r="O700" s="1645"/>
      <c r="P700" s="1423"/>
      <c r="Q700" s="1646"/>
      <c r="R700" s="1880">
        <v>1</v>
      </c>
      <c r="S700" s="1421" t="s">
        <v>101</v>
      </c>
      <c r="T700" s="1632" t="s">
        <v>90</v>
      </c>
      <c r="U700" s="1741" t="s">
        <v>1065</v>
      </c>
      <c r="V700" s="1314">
        <f t="shared" si="85"/>
        <v>50</v>
      </c>
      <c r="W700" s="26"/>
      <c r="X700" s="26"/>
      <c r="Y700" s="26"/>
      <c r="Z700" s="27"/>
      <c r="AA700" s="41"/>
      <c r="AB700" s="42"/>
    </row>
    <row r="701" spans="1:28" s="9" customFormat="1" ht="30">
      <c r="A701" s="944"/>
      <c r="B701" s="922"/>
      <c r="C701" s="1551" t="s">
        <v>1009</v>
      </c>
      <c r="D701" s="1351">
        <v>7</v>
      </c>
      <c r="E701" s="1629" t="s">
        <v>68</v>
      </c>
      <c r="F701" s="1353">
        <v>4</v>
      </c>
      <c r="G701" s="1630"/>
      <c r="H701" s="1629"/>
      <c r="I701" s="1631"/>
      <c r="J701" s="1539" t="s">
        <v>70</v>
      </c>
      <c r="K701" s="1544"/>
      <c r="L701" s="1539"/>
      <c r="M701" s="1538"/>
      <c r="N701" s="1615"/>
      <c r="O701" s="1360"/>
      <c r="P701" s="1358"/>
      <c r="Q701" s="1617"/>
      <c r="R701" s="1735">
        <v>1</v>
      </c>
      <c r="S701" s="1356" t="s">
        <v>101</v>
      </c>
      <c r="T701" s="972" t="s">
        <v>90</v>
      </c>
      <c r="U701" s="1694" t="s">
        <v>1065</v>
      </c>
      <c r="V701" s="1314">
        <f t="shared" si="85"/>
        <v>50</v>
      </c>
      <c r="W701" s="26"/>
      <c r="X701" s="26"/>
      <c r="Y701" s="26"/>
      <c r="Z701" s="27"/>
      <c r="AA701" s="41"/>
      <c r="AB701" s="42"/>
    </row>
    <row r="702" spans="1:28" s="9" customFormat="1" ht="30">
      <c r="A702" s="944"/>
      <c r="B702" s="922"/>
      <c r="C702" s="1551" t="s">
        <v>1009</v>
      </c>
      <c r="D702" s="1351">
        <v>8</v>
      </c>
      <c r="E702" s="1629" t="s">
        <v>68</v>
      </c>
      <c r="F702" s="1353">
        <v>9</v>
      </c>
      <c r="G702" s="1630"/>
      <c r="H702" s="1629"/>
      <c r="I702" s="1631"/>
      <c r="J702" s="1539" t="s">
        <v>69</v>
      </c>
      <c r="K702" s="1544"/>
      <c r="L702" s="1539"/>
      <c r="M702" s="1538"/>
      <c r="N702" s="1615"/>
      <c r="O702" s="1360"/>
      <c r="P702" s="1358"/>
      <c r="Q702" s="1617"/>
      <c r="R702" s="1735">
        <v>1</v>
      </c>
      <c r="S702" s="1356" t="s">
        <v>101</v>
      </c>
      <c r="T702" s="972" t="s">
        <v>90</v>
      </c>
      <c r="U702" s="1694" t="s">
        <v>1065</v>
      </c>
      <c r="V702" s="1314">
        <f t="shared" si="85"/>
        <v>50</v>
      </c>
      <c r="W702" s="26"/>
      <c r="X702" s="26"/>
      <c r="Y702" s="26"/>
      <c r="Z702" s="27"/>
      <c r="AA702" s="41"/>
      <c r="AB702" s="42"/>
    </row>
    <row r="703" spans="1:28" s="9" customFormat="1" ht="30">
      <c r="A703" s="944"/>
      <c r="B703" s="922"/>
      <c r="C703" s="1551" t="s">
        <v>1009</v>
      </c>
      <c r="D703" s="1351">
        <v>8</v>
      </c>
      <c r="E703" s="1629" t="s">
        <v>68</v>
      </c>
      <c r="F703" s="1353">
        <v>9</v>
      </c>
      <c r="G703" s="1630"/>
      <c r="H703" s="1629"/>
      <c r="I703" s="1631"/>
      <c r="J703" s="1539" t="s">
        <v>70</v>
      </c>
      <c r="K703" s="1544"/>
      <c r="L703" s="1539"/>
      <c r="M703" s="1538"/>
      <c r="N703" s="1615"/>
      <c r="O703" s="1360"/>
      <c r="P703" s="1358"/>
      <c r="Q703" s="1617"/>
      <c r="R703" s="1735">
        <v>1</v>
      </c>
      <c r="S703" s="1356" t="s">
        <v>101</v>
      </c>
      <c r="T703" s="972" t="s">
        <v>90</v>
      </c>
      <c r="U703" s="1694" t="s">
        <v>1065</v>
      </c>
      <c r="V703" s="1314">
        <f t="shared" si="85"/>
        <v>50</v>
      </c>
      <c r="W703" s="26"/>
      <c r="X703" s="26"/>
      <c r="Y703" s="26"/>
      <c r="Z703" s="27"/>
      <c r="AA703" s="41"/>
      <c r="AB703" s="42"/>
    </row>
    <row r="704" spans="1:28" s="9" customFormat="1" ht="30">
      <c r="A704" s="944"/>
      <c r="B704" s="922"/>
      <c r="C704" s="1551" t="s">
        <v>1009</v>
      </c>
      <c r="D704" s="1351">
        <v>8</v>
      </c>
      <c r="E704" s="1629" t="s">
        <v>68</v>
      </c>
      <c r="F704" s="1353">
        <v>17</v>
      </c>
      <c r="G704" s="1630"/>
      <c r="H704" s="1629"/>
      <c r="I704" s="1631"/>
      <c r="J704" s="1539" t="s">
        <v>69</v>
      </c>
      <c r="K704" s="1544"/>
      <c r="L704" s="1539"/>
      <c r="M704" s="1538"/>
      <c r="N704" s="1615"/>
      <c r="O704" s="1360"/>
      <c r="P704" s="1358"/>
      <c r="Q704" s="1617"/>
      <c r="R704" s="1735">
        <v>1</v>
      </c>
      <c r="S704" s="1356" t="s">
        <v>101</v>
      </c>
      <c r="T704" s="972" t="s">
        <v>90</v>
      </c>
      <c r="U704" s="1694" t="s">
        <v>1065</v>
      </c>
      <c r="V704" s="1314">
        <f t="shared" si="85"/>
        <v>50</v>
      </c>
      <c r="W704" s="26"/>
      <c r="X704" s="26"/>
      <c r="Y704" s="26"/>
      <c r="Z704" s="27"/>
      <c r="AA704" s="41"/>
      <c r="AB704" s="42"/>
    </row>
    <row r="705" spans="1:28" s="9" customFormat="1" ht="30">
      <c r="A705" s="944"/>
      <c r="B705" s="922"/>
      <c r="C705" s="1551" t="s">
        <v>1009</v>
      </c>
      <c r="D705" s="1351">
        <v>8</v>
      </c>
      <c r="E705" s="1629" t="s">
        <v>68</v>
      </c>
      <c r="F705" s="1353">
        <v>17</v>
      </c>
      <c r="G705" s="1630"/>
      <c r="H705" s="1629"/>
      <c r="I705" s="1631"/>
      <c r="J705" s="1539" t="s">
        <v>70</v>
      </c>
      <c r="K705" s="1544"/>
      <c r="L705" s="1539"/>
      <c r="M705" s="1538"/>
      <c r="N705" s="1615"/>
      <c r="O705" s="1360"/>
      <c r="P705" s="1358"/>
      <c r="Q705" s="1617"/>
      <c r="R705" s="1735">
        <v>1</v>
      </c>
      <c r="S705" s="1356" t="s">
        <v>101</v>
      </c>
      <c r="T705" s="972" t="s">
        <v>90</v>
      </c>
      <c r="U705" s="1694" t="s">
        <v>1065</v>
      </c>
      <c r="V705" s="1314">
        <f t="shared" si="85"/>
        <v>50</v>
      </c>
      <c r="W705" s="26"/>
      <c r="X705" s="26"/>
      <c r="Y705" s="26"/>
      <c r="Z705" s="27"/>
      <c r="AA705" s="41"/>
      <c r="AB705" s="42"/>
    </row>
    <row r="706" spans="1:28" s="9" customFormat="1" ht="30">
      <c r="A706" s="944"/>
      <c r="B706" s="922"/>
      <c r="C706" s="1551" t="s">
        <v>1009</v>
      </c>
      <c r="D706" s="1351">
        <v>10</v>
      </c>
      <c r="E706" s="1629" t="s">
        <v>68</v>
      </c>
      <c r="F706" s="1353">
        <v>2</v>
      </c>
      <c r="G706" s="1630"/>
      <c r="H706" s="1629"/>
      <c r="I706" s="1631"/>
      <c r="J706" s="1539" t="s">
        <v>69</v>
      </c>
      <c r="K706" s="1544"/>
      <c r="L706" s="1539"/>
      <c r="M706" s="1538"/>
      <c r="N706" s="1615"/>
      <c r="O706" s="1360"/>
      <c r="P706" s="1358"/>
      <c r="Q706" s="1617"/>
      <c r="R706" s="1735">
        <v>1</v>
      </c>
      <c r="S706" s="1356" t="s">
        <v>101</v>
      </c>
      <c r="T706" s="972" t="s">
        <v>90</v>
      </c>
      <c r="U706" s="1694" t="s">
        <v>1065</v>
      </c>
      <c r="V706" s="1314">
        <f t="shared" si="85"/>
        <v>50</v>
      </c>
      <c r="W706" s="26"/>
      <c r="X706" s="26"/>
      <c r="Y706" s="26"/>
      <c r="Z706" s="27"/>
      <c r="AA706" s="41"/>
      <c r="AB706" s="42"/>
    </row>
    <row r="707" spans="1:28" s="9" customFormat="1" ht="30">
      <c r="A707" s="944"/>
      <c r="B707" s="922"/>
      <c r="C707" s="1551" t="s">
        <v>1009</v>
      </c>
      <c r="D707" s="1351">
        <v>10</v>
      </c>
      <c r="E707" s="1629" t="s">
        <v>68</v>
      </c>
      <c r="F707" s="1353">
        <v>2</v>
      </c>
      <c r="G707" s="1630"/>
      <c r="H707" s="1629"/>
      <c r="I707" s="1631"/>
      <c r="J707" s="1539" t="s">
        <v>70</v>
      </c>
      <c r="K707" s="1544"/>
      <c r="L707" s="1539"/>
      <c r="M707" s="1538"/>
      <c r="N707" s="1615"/>
      <c r="O707" s="1360"/>
      <c r="P707" s="1358"/>
      <c r="Q707" s="1617"/>
      <c r="R707" s="1735">
        <v>1</v>
      </c>
      <c r="S707" s="1356" t="s">
        <v>101</v>
      </c>
      <c r="T707" s="972" t="s">
        <v>90</v>
      </c>
      <c r="U707" s="1694" t="s">
        <v>1065</v>
      </c>
      <c r="V707" s="1314">
        <f t="shared" si="85"/>
        <v>50</v>
      </c>
      <c r="W707" s="26"/>
      <c r="X707" s="26"/>
      <c r="Y707" s="26"/>
      <c r="Z707" s="27"/>
      <c r="AA707" s="41"/>
      <c r="AB707" s="42"/>
    </row>
    <row r="708" spans="1:28" s="9" customFormat="1" ht="30">
      <c r="A708" s="944"/>
      <c r="B708" s="922"/>
      <c r="C708" s="1551" t="s">
        <v>1009</v>
      </c>
      <c r="D708" s="1351">
        <v>11</v>
      </c>
      <c r="E708" s="1629" t="s">
        <v>68</v>
      </c>
      <c r="F708" s="1353">
        <v>4.5</v>
      </c>
      <c r="G708" s="1630"/>
      <c r="H708" s="1629"/>
      <c r="I708" s="1631"/>
      <c r="J708" s="1539" t="s">
        <v>69</v>
      </c>
      <c r="K708" s="1544"/>
      <c r="L708" s="1539"/>
      <c r="M708" s="1538"/>
      <c r="N708" s="1615"/>
      <c r="O708" s="1360"/>
      <c r="P708" s="1358"/>
      <c r="Q708" s="1617"/>
      <c r="R708" s="1735">
        <v>1</v>
      </c>
      <c r="S708" s="1356" t="s">
        <v>101</v>
      </c>
      <c r="T708" s="972" t="s">
        <v>90</v>
      </c>
      <c r="U708" s="1694" t="s">
        <v>1065</v>
      </c>
      <c r="V708" s="1314">
        <f t="shared" si="85"/>
        <v>50</v>
      </c>
      <c r="W708" s="26"/>
      <c r="X708" s="26"/>
      <c r="Y708" s="26"/>
      <c r="Z708" s="27"/>
      <c r="AA708" s="41"/>
      <c r="AB708" s="42"/>
    </row>
    <row r="709" spans="1:28" s="9" customFormat="1" ht="30">
      <c r="A709" s="944"/>
      <c r="B709" s="922"/>
      <c r="C709" s="1551" t="s">
        <v>1009</v>
      </c>
      <c r="D709" s="1351">
        <v>11</v>
      </c>
      <c r="E709" s="1629" t="s">
        <v>68</v>
      </c>
      <c r="F709" s="1353">
        <v>12</v>
      </c>
      <c r="G709" s="1630"/>
      <c r="H709" s="1629"/>
      <c r="I709" s="1631"/>
      <c r="J709" s="1539" t="s">
        <v>69</v>
      </c>
      <c r="K709" s="1544"/>
      <c r="L709" s="1539"/>
      <c r="M709" s="1538"/>
      <c r="N709" s="1615"/>
      <c r="O709" s="1360"/>
      <c r="P709" s="1358"/>
      <c r="Q709" s="1617"/>
      <c r="R709" s="1735">
        <v>1</v>
      </c>
      <c r="S709" s="1356" t="s">
        <v>101</v>
      </c>
      <c r="T709" s="972" t="s">
        <v>90</v>
      </c>
      <c r="U709" s="1694" t="s">
        <v>1065</v>
      </c>
      <c r="V709" s="1314">
        <f t="shared" si="85"/>
        <v>50</v>
      </c>
      <c r="W709" s="26"/>
      <c r="X709" s="26"/>
      <c r="Y709" s="26"/>
      <c r="Z709" s="27"/>
      <c r="AA709" s="41"/>
      <c r="AB709" s="42"/>
    </row>
    <row r="710" spans="1:28" s="9" customFormat="1" ht="30">
      <c r="A710" s="944"/>
      <c r="B710" s="922"/>
      <c r="C710" s="1551" t="s">
        <v>1009</v>
      </c>
      <c r="D710" s="1351">
        <v>14</v>
      </c>
      <c r="E710" s="1629" t="s">
        <v>68</v>
      </c>
      <c r="F710" s="1353">
        <v>1</v>
      </c>
      <c r="G710" s="1630"/>
      <c r="H710" s="1629"/>
      <c r="I710" s="1631"/>
      <c r="J710" s="1539" t="s">
        <v>69</v>
      </c>
      <c r="K710" s="1544"/>
      <c r="L710" s="1539"/>
      <c r="M710" s="1538"/>
      <c r="N710" s="1615"/>
      <c r="O710" s="1360"/>
      <c r="P710" s="1358"/>
      <c r="Q710" s="1617"/>
      <c r="R710" s="1735">
        <v>1</v>
      </c>
      <c r="S710" s="1356" t="s">
        <v>101</v>
      </c>
      <c r="T710" s="972" t="s">
        <v>90</v>
      </c>
      <c r="U710" s="1694" t="s">
        <v>1065</v>
      </c>
      <c r="V710" s="1314">
        <f t="shared" si="85"/>
        <v>50</v>
      </c>
      <c r="W710" s="26"/>
      <c r="X710" s="26"/>
      <c r="Y710" s="26"/>
      <c r="Z710" s="27"/>
      <c r="AA710" s="41"/>
      <c r="AB710" s="42"/>
    </row>
    <row r="711" spans="1:28" s="9" customFormat="1" ht="30">
      <c r="A711" s="944"/>
      <c r="B711" s="922"/>
      <c r="C711" s="1551" t="s">
        <v>1009</v>
      </c>
      <c r="D711" s="1351">
        <v>14</v>
      </c>
      <c r="E711" s="1629" t="s">
        <v>68</v>
      </c>
      <c r="F711" s="1353">
        <v>1</v>
      </c>
      <c r="G711" s="1630"/>
      <c r="H711" s="1629"/>
      <c r="I711" s="1631"/>
      <c r="J711" s="1539" t="s">
        <v>70</v>
      </c>
      <c r="K711" s="1544"/>
      <c r="L711" s="1539"/>
      <c r="M711" s="1538"/>
      <c r="N711" s="1615"/>
      <c r="O711" s="1360"/>
      <c r="P711" s="1358"/>
      <c r="Q711" s="1617"/>
      <c r="R711" s="1735">
        <v>1</v>
      </c>
      <c r="S711" s="1356" t="s">
        <v>101</v>
      </c>
      <c r="T711" s="972" t="s">
        <v>90</v>
      </c>
      <c r="U711" s="1694" t="s">
        <v>1065</v>
      </c>
      <c r="V711" s="1314">
        <f t="shared" si="85"/>
        <v>50</v>
      </c>
      <c r="W711" s="26"/>
      <c r="X711" s="26"/>
      <c r="Y711" s="26"/>
      <c r="Z711" s="27"/>
      <c r="AA711" s="41"/>
      <c r="AB711" s="42"/>
    </row>
    <row r="712" spans="1:28" s="9" customFormat="1" ht="30">
      <c r="A712" s="944"/>
      <c r="B712" s="922"/>
      <c r="C712" s="1551" t="s">
        <v>1009</v>
      </c>
      <c r="D712" s="1351">
        <v>14</v>
      </c>
      <c r="E712" s="1629" t="s">
        <v>68</v>
      </c>
      <c r="F712" s="1353">
        <v>9</v>
      </c>
      <c r="G712" s="1630"/>
      <c r="H712" s="1629"/>
      <c r="I712" s="1631"/>
      <c r="J712" s="1539" t="s">
        <v>69</v>
      </c>
      <c r="K712" s="1544"/>
      <c r="L712" s="1539"/>
      <c r="M712" s="1538"/>
      <c r="N712" s="1615"/>
      <c r="O712" s="1360"/>
      <c r="P712" s="1358"/>
      <c r="Q712" s="1617"/>
      <c r="R712" s="1735">
        <v>1</v>
      </c>
      <c r="S712" s="1356" t="s">
        <v>101</v>
      </c>
      <c r="T712" s="972" t="s">
        <v>90</v>
      </c>
      <c r="U712" s="1694" t="s">
        <v>1065</v>
      </c>
      <c r="V712" s="1314">
        <f t="shared" si="85"/>
        <v>50</v>
      </c>
      <c r="W712" s="26"/>
      <c r="X712" s="26"/>
      <c r="Y712" s="26"/>
      <c r="Z712" s="27"/>
      <c r="AA712" s="41"/>
      <c r="AB712" s="42"/>
    </row>
    <row r="713" spans="1:28" s="9" customFormat="1" ht="30">
      <c r="A713" s="944"/>
      <c r="B713" s="937"/>
      <c r="C713" s="1551" t="s">
        <v>1009</v>
      </c>
      <c r="D713" s="1351">
        <v>14</v>
      </c>
      <c r="E713" s="1629" t="s">
        <v>68</v>
      </c>
      <c r="F713" s="1353">
        <v>9</v>
      </c>
      <c r="G713" s="1630"/>
      <c r="H713" s="1629"/>
      <c r="I713" s="1631"/>
      <c r="J713" s="1539" t="s">
        <v>70</v>
      </c>
      <c r="K713" s="1544"/>
      <c r="L713" s="1539"/>
      <c r="M713" s="1538"/>
      <c r="N713" s="1615"/>
      <c r="O713" s="1360"/>
      <c r="P713" s="1358"/>
      <c r="Q713" s="1617"/>
      <c r="R713" s="1735">
        <v>1</v>
      </c>
      <c r="S713" s="1356" t="s">
        <v>101</v>
      </c>
      <c r="T713" s="972" t="s">
        <v>90</v>
      </c>
      <c r="U713" s="1694" t="s">
        <v>1065</v>
      </c>
      <c r="V713" s="1314">
        <f t="shared" si="85"/>
        <v>50</v>
      </c>
      <c r="W713" s="26"/>
      <c r="X713" s="26"/>
      <c r="Y713" s="26"/>
      <c r="Z713" s="27"/>
      <c r="AA713" s="41"/>
      <c r="AB713" s="42"/>
    </row>
    <row r="714" spans="1:28" s="9" customFormat="1" ht="30">
      <c r="A714" s="944"/>
      <c r="B714" s="922"/>
      <c r="C714" s="1551" t="s">
        <v>1010</v>
      </c>
      <c r="D714" s="1351">
        <v>100</v>
      </c>
      <c r="E714" s="1629" t="s">
        <v>68</v>
      </c>
      <c r="F714" s="1353">
        <v>4</v>
      </c>
      <c r="G714" s="1630"/>
      <c r="H714" s="1629"/>
      <c r="I714" s="1631"/>
      <c r="J714" s="1539" t="s">
        <v>69</v>
      </c>
      <c r="K714" s="1544"/>
      <c r="L714" s="1539"/>
      <c r="M714" s="1538"/>
      <c r="N714" s="1615"/>
      <c r="O714" s="1360"/>
      <c r="P714" s="1358"/>
      <c r="Q714" s="1617"/>
      <c r="R714" s="1735">
        <v>1</v>
      </c>
      <c r="S714" s="1356" t="s">
        <v>101</v>
      </c>
      <c r="T714" s="972" t="s">
        <v>90</v>
      </c>
      <c r="U714" s="1694" t="s">
        <v>1066</v>
      </c>
      <c r="V714" s="1314">
        <f t="shared" si="85"/>
        <v>50</v>
      </c>
      <c r="W714" s="26"/>
      <c r="X714" s="26"/>
      <c r="Y714" s="26"/>
      <c r="Z714" s="27"/>
      <c r="AA714" s="41"/>
      <c r="AB714" s="42"/>
    </row>
    <row r="715" spans="1:28" s="9" customFormat="1" ht="30">
      <c r="A715" s="944"/>
      <c r="B715" s="922"/>
      <c r="C715" s="1551" t="s">
        <v>1010</v>
      </c>
      <c r="D715" s="1351">
        <v>100</v>
      </c>
      <c r="E715" s="1629" t="s">
        <v>68</v>
      </c>
      <c r="F715" s="1353">
        <v>4</v>
      </c>
      <c r="G715" s="1630"/>
      <c r="H715" s="1629"/>
      <c r="I715" s="1631"/>
      <c r="J715" s="1539" t="s">
        <v>70</v>
      </c>
      <c r="K715" s="1544"/>
      <c r="L715" s="1539"/>
      <c r="M715" s="1538"/>
      <c r="N715" s="1615"/>
      <c r="O715" s="1360"/>
      <c r="P715" s="1358"/>
      <c r="Q715" s="1617"/>
      <c r="R715" s="1735">
        <v>1</v>
      </c>
      <c r="S715" s="1356" t="s">
        <v>101</v>
      </c>
      <c r="T715" s="972" t="s">
        <v>90</v>
      </c>
      <c r="U715" s="1694" t="s">
        <v>1066</v>
      </c>
      <c r="V715" s="1314">
        <f t="shared" si="85"/>
        <v>50</v>
      </c>
      <c r="W715" s="26"/>
      <c r="X715" s="26"/>
      <c r="Y715" s="26"/>
      <c r="Z715" s="27"/>
      <c r="AA715" s="41"/>
      <c r="AB715" s="42"/>
    </row>
    <row r="716" spans="1:28" s="9" customFormat="1" ht="30">
      <c r="A716" s="944"/>
      <c r="B716" s="922"/>
      <c r="C716" s="1551" t="s">
        <v>1010</v>
      </c>
      <c r="D716" s="1351">
        <v>102</v>
      </c>
      <c r="E716" s="1629" t="s">
        <v>68</v>
      </c>
      <c r="F716" s="1353">
        <v>12</v>
      </c>
      <c r="G716" s="1630"/>
      <c r="H716" s="1629"/>
      <c r="I716" s="1631"/>
      <c r="J716" s="1539" t="s">
        <v>69</v>
      </c>
      <c r="K716" s="1544"/>
      <c r="L716" s="1539"/>
      <c r="M716" s="1538"/>
      <c r="N716" s="1615"/>
      <c r="O716" s="1360"/>
      <c r="P716" s="1358"/>
      <c r="Q716" s="1617"/>
      <c r="R716" s="1735">
        <v>1</v>
      </c>
      <c r="S716" s="1356" t="s">
        <v>101</v>
      </c>
      <c r="T716" s="972" t="s">
        <v>90</v>
      </c>
      <c r="U716" s="1694" t="s">
        <v>1066</v>
      </c>
      <c r="V716" s="1314">
        <f t="shared" si="85"/>
        <v>50</v>
      </c>
      <c r="W716" s="26"/>
      <c r="X716" s="26"/>
      <c r="Y716" s="26"/>
      <c r="Z716" s="27"/>
      <c r="AA716" s="41"/>
      <c r="AB716" s="42"/>
    </row>
    <row r="717" spans="1:28" s="9" customFormat="1" ht="30">
      <c r="A717" s="944"/>
      <c r="B717" s="922"/>
      <c r="C717" s="1551" t="s">
        <v>1010</v>
      </c>
      <c r="D717" s="1351">
        <v>102</v>
      </c>
      <c r="E717" s="1629" t="s">
        <v>68</v>
      </c>
      <c r="F717" s="1353">
        <v>12</v>
      </c>
      <c r="G717" s="1630"/>
      <c r="H717" s="1629"/>
      <c r="I717" s="1631"/>
      <c r="J717" s="1539" t="s">
        <v>70</v>
      </c>
      <c r="K717" s="1544"/>
      <c r="L717" s="1539"/>
      <c r="M717" s="1538"/>
      <c r="N717" s="1615"/>
      <c r="O717" s="1360"/>
      <c r="P717" s="1358"/>
      <c r="Q717" s="1617"/>
      <c r="R717" s="1735">
        <v>1</v>
      </c>
      <c r="S717" s="1356" t="s">
        <v>101</v>
      </c>
      <c r="T717" s="972" t="s">
        <v>90</v>
      </c>
      <c r="U717" s="1694" t="s">
        <v>1066</v>
      </c>
      <c r="V717" s="1314">
        <f t="shared" si="85"/>
        <v>50</v>
      </c>
      <c r="W717" s="26"/>
      <c r="X717" s="26"/>
      <c r="Y717" s="26"/>
      <c r="Z717" s="27"/>
      <c r="AA717" s="41"/>
      <c r="AB717" s="42"/>
    </row>
    <row r="718" spans="1:28" s="9" customFormat="1" ht="30">
      <c r="A718" s="944"/>
      <c r="B718" s="922"/>
      <c r="C718" s="1551" t="s">
        <v>1010</v>
      </c>
      <c r="D718" s="1351">
        <v>104</v>
      </c>
      <c r="E718" s="1629" t="s">
        <v>68</v>
      </c>
      <c r="F718" s="1353">
        <v>8.6999999999999993</v>
      </c>
      <c r="G718" s="1630"/>
      <c r="H718" s="1629"/>
      <c r="I718" s="1631"/>
      <c r="J718" s="1539" t="s">
        <v>69</v>
      </c>
      <c r="K718" s="1544"/>
      <c r="L718" s="1539"/>
      <c r="M718" s="1538"/>
      <c r="N718" s="1615"/>
      <c r="O718" s="1360"/>
      <c r="P718" s="1358"/>
      <c r="Q718" s="1617"/>
      <c r="R718" s="1735">
        <v>1</v>
      </c>
      <c r="S718" s="1356" t="s">
        <v>101</v>
      </c>
      <c r="T718" s="972" t="s">
        <v>90</v>
      </c>
      <c r="U718" s="1694" t="s">
        <v>1066</v>
      </c>
      <c r="V718" s="1314">
        <f t="shared" si="85"/>
        <v>50</v>
      </c>
      <c r="W718" s="26"/>
      <c r="X718" s="26"/>
      <c r="Y718" s="26"/>
      <c r="Z718" s="27"/>
      <c r="AA718" s="41"/>
      <c r="AB718" s="42"/>
    </row>
    <row r="719" spans="1:28" s="9" customFormat="1" ht="30">
      <c r="A719" s="944"/>
      <c r="B719" s="922"/>
      <c r="C719" s="1551" t="s">
        <v>1010</v>
      </c>
      <c r="D719" s="1351">
        <v>104</v>
      </c>
      <c r="E719" s="1629" t="s">
        <v>68</v>
      </c>
      <c r="F719" s="1353">
        <v>8.6999999999999993</v>
      </c>
      <c r="G719" s="1630"/>
      <c r="H719" s="1629"/>
      <c r="I719" s="1631"/>
      <c r="J719" s="1539" t="s">
        <v>70</v>
      </c>
      <c r="K719" s="1544"/>
      <c r="L719" s="1539"/>
      <c r="M719" s="1538"/>
      <c r="N719" s="1615"/>
      <c r="O719" s="1360"/>
      <c r="P719" s="1358"/>
      <c r="Q719" s="1617"/>
      <c r="R719" s="1735">
        <v>1</v>
      </c>
      <c r="S719" s="1356" t="s">
        <v>101</v>
      </c>
      <c r="T719" s="972" t="s">
        <v>90</v>
      </c>
      <c r="U719" s="1694" t="s">
        <v>1066</v>
      </c>
      <c r="V719" s="1314">
        <f t="shared" si="85"/>
        <v>50</v>
      </c>
      <c r="W719" s="26"/>
      <c r="X719" s="26"/>
      <c r="Y719" s="26"/>
      <c r="Z719" s="27"/>
      <c r="AA719" s="41"/>
      <c r="AB719" s="42"/>
    </row>
    <row r="720" spans="1:28" s="9" customFormat="1" ht="30">
      <c r="A720" s="944"/>
      <c r="B720" s="922"/>
      <c r="C720" s="1551" t="s">
        <v>1010</v>
      </c>
      <c r="D720" s="1351">
        <v>106</v>
      </c>
      <c r="E720" s="1629" t="s">
        <v>68</v>
      </c>
      <c r="F720" s="1353">
        <v>3.5</v>
      </c>
      <c r="G720" s="1630"/>
      <c r="H720" s="1629"/>
      <c r="I720" s="1631"/>
      <c r="J720" s="1539" t="s">
        <v>69</v>
      </c>
      <c r="K720" s="1544"/>
      <c r="L720" s="1539"/>
      <c r="M720" s="1538"/>
      <c r="N720" s="1615"/>
      <c r="O720" s="1360"/>
      <c r="P720" s="1358"/>
      <c r="Q720" s="1617"/>
      <c r="R720" s="1735">
        <v>1</v>
      </c>
      <c r="S720" s="1356" t="s">
        <v>101</v>
      </c>
      <c r="T720" s="972" t="s">
        <v>90</v>
      </c>
      <c r="U720" s="1694" t="s">
        <v>1066</v>
      </c>
      <c r="V720" s="1314">
        <f t="shared" si="85"/>
        <v>50</v>
      </c>
      <c r="W720" s="26"/>
      <c r="X720" s="26"/>
      <c r="Y720" s="26"/>
      <c r="Z720" s="27"/>
      <c r="AA720" s="41"/>
      <c r="AB720" s="42"/>
    </row>
    <row r="721" spans="1:28" s="9" customFormat="1" ht="30">
      <c r="A721" s="944"/>
      <c r="B721" s="922"/>
      <c r="C721" s="1551" t="s">
        <v>1010</v>
      </c>
      <c r="D721" s="1351">
        <v>106</v>
      </c>
      <c r="E721" s="1629" t="s">
        <v>68</v>
      </c>
      <c r="F721" s="1353">
        <v>3.5</v>
      </c>
      <c r="G721" s="1630"/>
      <c r="H721" s="1629"/>
      <c r="I721" s="1631"/>
      <c r="J721" s="1539" t="s">
        <v>70</v>
      </c>
      <c r="K721" s="1544"/>
      <c r="L721" s="1539"/>
      <c r="M721" s="1538"/>
      <c r="N721" s="1615"/>
      <c r="O721" s="1360"/>
      <c r="P721" s="1358"/>
      <c r="Q721" s="1617"/>
      <c r="R721" s="1735">
        <v>1</v>
      </c>
      <c r="S721" s="1356" t="s">
        <v>101</v>
      </c>
      <c r="T721" s="972" t="s">
        <v>90</v>
      </c>
      <c r="U721" s="1694" t="s">
        <v>1066</v>
      </c>
      <c r="V721" s="1314">
        <f t="shared" si="85"/>
        <v>50</v>
      </c>
      <c r="W721" s="26"/>
      <c r="X721" s="26"/>
      <c r="Y721" s="26"/>
      <c r="Z721" s="27"/>
      <c r="AA721" s="41"/>
      <c r="AB721" s="42"/>
    </row>
    <row r="722" spans="1:28" s="9" customFormat="1" ht="30">
      <c r="A722" s="944"/>
      <c r="B722" s="922"/>
      <c r="C722" s="1770" t="s">
        <v>1010</v>
      </c>
      <c r="D722" s="962">
        <v>106</v>
      </c>
      <c r="E722" s="1737" t="s">
        <v>68</v>
      </c>
      <c r="F722" s="964">
        <v>10.7</v>
      </c>
      <c r="G722" s="1952"/>
      <c r="H722" s="1737"/>
      <c r="I722" s="1953"/>
      <c r="J722" s="1538" t="s">
        <v>69</v>
      </c>
      <c r="K722" s="1638"/>
      <c r="L722" s="1538"/>
      <c r="M722" s="1538"/>
      <c r="N722" s="1954"/>
      <c r="O722" s="224"/>
      <c r="P722" s="215"/>
      <c r="Q722" s="971"/>
      <c r="R722" s="1554">
        <v>1</v>
      </c>
      <c r="S722" s="77" t="s">
        <v>101</v>
      </c>
      <c r="T722" s="972" t="s">
        <v>90</v>
      </c>
      <c r="U722" s="956" t="s">
        <v>1066</v>
      </c>
      <c r="V722" s="1314">
        <f t="shared" si="85"/>
        <v>50</v>
      </c>
      <c r="W722" s="26"/>
      <c r="X722" s="26"/>
      <c r="Y722" s="26"/>
      <c r="Z722" s="27"/>
      <c r="AA722" s="41"/>
      <c r="AB722" s="42"/>
    </row>
    <row r="723" spans="1:28" s="9" customFormat="1" ht="30">
      <c r="A723" s="944"/>
      <c r="B723" s="1479"/>
      <c r="C723" s="1943" t="s">
        <v>1010</v>
      </c>
      <c r="D723" s="1048">
        <v>106</v>
      </c>
      <c r="E723" s="1948" t="s">
        <v>68</v>
      </c>
      <c r="F723" s="1050">
        <v>10.7</v>
      </c>
      <c r="G723" s="1949"/>
      <c r="H723" s="1948"/>
      <c r="I723" s="1950"/>
      <c r="J723" s="1906" t="s">
        <v>70</v>
      </c>
      <c r="K723" s="1944"/>
      <c r="L723" s="1906"/>
      <c r="M723" s="1906"/>
      <c r="N723" s="1951"/>
      <c r="O723" s="984"/>
      <c r="P723" s="982"/>
      <c r="Q723" s="1041"/>
      <c r="R723" s="1911">
        <v>1</v>
      </c>
      <c r="S723" s="1051" t="s">
        <v>101</v>
      </c>
      <c r="T723" s="986" t="s">
        <v>90</v>
      </c>
      <c r="U723" s="1694" t="s">
        <v>1066</v>
      </c>
      <c r="V723" s="1314">
        <f t="shared" si="85"/>
        <v>50</v>
      </c>
      <c r="W723" s="26"/>
      <c r="X723" s="26"/>
      <c r="Y723" s="26"/>
      <c r="Z723" s="27"/>
      <c r="AA723" s="41"/>
      <c r="AB723" s="42"/>
    </row>
    <row r="724" spans="1:28" s="9" customFormat="1" ht="30">
      <c r="A724" s="944"/>
      <c r="B724" s="922"/>
      <c r="C724" s="1551" t="s">
        <v>1010</v>
      </c>
      <c r="D724" s="1351">
        <v>107</v>
      </c>
      <c r="E724" s="1629" t="s">
        <v>68</v>
      </c>
      <c r="F724" s="1353">
        <v>11</v>
      </c>
      <c r="G724" s="1630"/>
      <c r="H724" s="1629"/>
      <c r="I724" s="1631"/>
      <c r="J724" s="1539" t="s">
        <v>69</v>
      </c>
      <c r="K724" s="1544"/>
      <c r="L724" s="1539"/>
      <c r="M724" s="1538"/>
      <c r="N724" s="1615"/>
      <c r="O724" s="1360"/>
      <c r="P724" s="1358"/>
      <c r="Q724" s="1617"/>
      <c r="R724" s="1735">
        <v>1</v>
      </c>
      <c r="S724" s="1356" t="s">
        <v>101</v>
      </c>
      <c r="T724" s="972" t="s">
        <v>90</v>
      </c>
      <c r="U724" s="1694" t="s">
        <v>1066</v>
      </c>
      <c r="V724" s="1314">
        <f t="shared" si="85"/>
        <v>50</v>
      </c>
      <c r="W724" s="26"/>
      <c r="X724" s="26"/>
      <c r="Y724" s="26"/>
      <c r="Z724" s="27"/>
      <c r="AA724" s="41"/>
      <c r="AB724" s="42"/>
    </row>
    <row r="725" spans="1:28" s="9" customFormat="1" ht="30">
      <c r="A725" s="944"/>
      <c r="B725" s="922"/>
      <c r="C725" s="1551" t="s">
        <v>1010</v>
      </c>
      <c r="D725" s="1351">
        <v>107</v>
      </c>
      <c r="E725" s="1629" t="s">
        <v>68</v>
      </c>
      <c r="F725" s="1353">
        <v>11</v>
      </c>
      <c r="G725" s="1630"/>
      <c r="H725" s="1629"/>
      <c r="I725" s="1631"/>
      <c r="J725" s="1539" t="s">
        <v>70</v>
      </c>
      <c r="K725" s="1544"/>
      <c r="L725" s="1539"/>
      <c r="M725" s="1538"/>
      <c r="N725" s="1615"/>
      <c r="O725" s="1360"/>
      <c r="P725" s="1358"/>
      <c r="Q725" s="1617"/>
      <c r="R725" s="1735">
        <v>1</v>
      </c>
      <c r="S725" s="1356" t="s">
        <v>101</v>
      </c>
      <c r="T725" s="972" t="s">
        <v>90</v>
      </c>
      <c r="U725" s="1694" t="s">
        <v>1066</v>
      </c>
      <c r="V725" s="1314">
        <f t="shared" si="85"/>
        <v>50</v>
      </c>
      <c r="W725" s="26"/>
      <c r="X725" s="26"/>
      <c r="Y725" s="26"/>
      <c r="Z725" s="27"/>
      <c r="AA725" s="41"/>
      <c r="AB725" s="42"/>
    </row>
    <row r="726" spans="1:28" s="9" customFormat="1" ht="30">
      <c r="A726" s="944"/>
      <c r="B726" s="922"/>
      <c r="C726" s="1551" t="s">
        <v>1010</v>
      </c>
      <c r="D726" s="1351">
        <v>109</v>
      </c>
      <c r="E726" s="1629" t="s">
        <v>68</v>
      </c>
      <c r="F726" s="1353">
        <v>0</v>
      </c>
      <c r="G726" s="1630"/>
      <c r="H726" s="1629"/>
      <c r="I726" s="1631"/>
      <c r="J726" s="1539" t="s">
        <v>69</v>
      </c>
      <c r="K726" s="1544"/>
      <c r="L726" s="1539"/>
      <c r="M726" s="1538"/>
      <c r="N726" s="1615"/>
      <c r="O726" s="1360"/>
      <c r="P726" s="1358"/>
      <c r="Q726" s="1617"/>
      <c r="R726" s="1735">
        <v>1</v>
      </c>
      <c r="S726" s="1356" t="s">
        <v>101</v>
      </c>
      <c r="T726" s="972" t="s">
        <v>90</v>
      </c>
      <c r="U726" s="1694" t="s">
        <v>1067</v>
      </c>
      <c r="V726" s="1314">
        <f t="shared" ref="V726:V732" si="86">V727</f>
        <v>50</v>
      </c>
      <c r="W726" s="26"/>
      <c r="X726" s="26"/>
      <c r="Y726" s="26"/>
      <c r="Z726" s="27"/>
      <c r="AA726" s="41"/>
      <c r="AB726" s="42"/>
    </row>
    <row r="727" spans="1:28" s="9" customFormat="1" ht="30">
      <c r="A727" s="944"/>
      <c r="B727" s="922"/>
      <c r="C727" s="1551" t="s">
        <v>1010</v>
      </c>
      <c r="D727" s="1351">
        <v>109</v>
      </c>
      <c r="E727" s="1629" t="s">
        <v>68</v>
      </c>
      <c r="F727" s="1353">
        <v>0</v>
      </c>
      <c r="G727" s="1630"/>
      <c r="H727" s="1629"/>
      <c r="I727" s="1631"/>
      <c r="J727" s="1539" t="s">
        <v>70</v>
      </c>
      <c r="K727" s="1544"/>
      <c r="L727" s="1539"/>
      <c r="M727" s="1538"/>
      <c r="N727" s="1615"/>
      <c r="O727" s="1360"/>
      <c r="P727" s="1358"/>
      <c r="Q727" s="1617"/>
      <c r="R727" s="1735">
        <v>1</v>
      </c>
      <c r="S727" s="1356" t="s">
        <v>101</v>
      </c>
      <c r="T727" s="972" t="s">
        <v>90</v>
      </c>
      <c r="U727" s="1694" t="s">
        <v>1067</v>
      </c>
      <c r="V727" s="1314">
        <f>V731</f>
        <v>50</v>
      </c>
      <c r="W727" s="26"/>
      <c r="X727" s="26"/>
      <c r="Y727" s="26"/>
      <c r="Z727" s="27"/>
      <c r="AA727" s="41"/>
      <c r="AB727" s="42"/>
    </row>
    <row r="728" spans="1:28" s="9" customFormat="1" ht="30">
      <c r="A728" s="944"/>
      <c r="B728" s="925"/>
      <c r="C728" s="1746" t="s">
        <v>1010</v>
      </c>
      <c r="D728" s="1096">
        <v>109</v>
      </c>
      <c r="E728" s="1747" t="s">
        <v>68</v>
      </c>
      <c r="F728" s="1098">
        <v>17</v>
      </c>
      <c r="G728" s="1872"/>
      <c r="H728" s="1747"/>
      <c r="I728" s="1749"/>
      <c r="J728" s="1750" t="s">
        <v>69</v>
      </c>
      <c r="K728" s="1764"/>
      <c r="L728" s="1750"/>
      <c r="M728" s="1750"/>
      <c r="N728" s="1873"/>
      <c r="O728" s="979"/>
      <c r="P728" s="978"/>
      <c r="Q728" s="987"/>
      <c r="R728" s="1743">
        <v>1</v>
      </c>
      <c r="S728" s="1101" t="s">
        <v>101</v>
      </c>
      <c r="T728" s="1027" t="s">
        <v>90</v>
      </c>
      <c r="U728" s="1078" t="s">
        <v>1067</v>
      </c>
      <c r="V728" s="1314">
        <f t="shared" si="86"/>
        <v>50</v>
      </c>
      <c r="W728" s="26"/>
      <c r="X728" s="26"/>
      <c r="Y728" s="26"/>
      <c r="Z728" s="27"/>
      <c r="AA728" s="41"/>
      <c r="AB728" s="42"/>
    </row>
    <row r="729" spans="1:28" s="9" customFormat="1" ht="30">
      <c r="A729" s="944"/>
      <c r="B729" s="921"/>
      <c r="C729" s="1874" t="s">
        <v>1010</v>
      </c>
      <c r="D729" s="1738">
        <v>109</v>
      </c>
      <c r="E729" s="1875" t="s">
        <v>68</v>
      </c>
      <c r="F729" s="1740">
        <v>17.5</v>
      </c>
      <c r="G729" s="1876"/>
      <c r="H729" s="1875"/>
      <c r="I729" s="1877"/>
      <c r="J729" s="1779" t="s">
        <v>69</v>
      </c>
      <c r="K729" s="1878"/>
      <c r="L729" s="1779"/>
      <c r="M729" s="1779"/>
      <c r="N729" s="1879"/>
      <c r="O729" s="1645"/>
      <c r="P729" s="1423"/>
      <c r="Q729" s="1646"/>
      <c r="R729" s="1880">
        <v>1</v>
      </c>
      <c r="S729" s="1421" t="s">
        <v>101</v>
      </c>
      <c r="T729" s="1632" t="s">
        <v>90</v>
      </c>
      <c r="U729" s="1741" t="s">
        <v>1067</v>
      </c>
      <c r="V729" s="1314">
        <f>V731</f>
        <v>50</v>
      </c>
      <c r="W729" s="26"/>
      <c r="X729" s="26"/>
      <c r="Y729" s="26"/>
      <c r="Z729" s="27"/>
      <c r="AA729" s="41"/>
      <c r="AB729" s="42"/>
    </row>
    <row r="730" spans="1:28" s="9" customFormat="1" ht="30">
      <c r="A730" s="944"/>
      <c r="B730" s="922"/>
      <c r="C730" s="1551" t="s">
        <v>1010</v>
      </c>
      <c r="D730" s="1351">
        <v>111</v>
      </c>
      <c r="E730" s="1629" t="s">
        <v>68</v>
      </c>
      <c r="F730" s="1353">
        <v>0</v>
      </c>
      <c r="G730" s="1630"/>
      <c r="H730" s="1629"/>
      <c r="I730" s="1631"/>
      <c r="J730" s="1539" t="s">
        <v>69</v>
      </c>
      <c r="K730" s="1544"/>
      <c r="L730" s="1539"/>
      <c r="M730" s="1538"/>
      <c r="N730" s="1615"/>
      <c r="O730" s="1360"/>
      <c r="P730" s="1358"/>
      <c r="Q730" s="1617"/>
      <c r="R730" s="1735">
        <v>1</v>
      </c>
      <c r="S730" s="1356" t="s">
        <v>101</v>
      </c>
      <c r="T730" s="972" t="s">
        <v>90</v>
      </c>
      <c r="U730" s="1694" t="s">
        <v>1067</v>
      </c>
      <c r="V730" s="1314">
        <f t="shared" si="86"/>
        <v>50</v>
      </c>
      <c r="W730" s="26"/>
      <c r="X730" s="26"/>
      <c r="Y730" s="26"/>
      <c r="Z730" s="27"/>
      <c r="AA730" s="41"/>
      <c r="AB730" s="42"/>
    </row>
    <row r="731" spans="1:28" s="9" customFormat="1" ht="30">
      <c r="A731" s="944"/>
      <c r="B731" s="922"/>
      <c r="C731" s="1551" t="s">
        <v>1010</v>
      </c>
      <c r="D731" s="1351">
        <v>111</v>
      </c>
      <c r="E731" s="1629" t="s">
        <v>68</v>
      </c>
      <c r="F731" s="1353">
        <v>0</v>
      </c>
      <c r="G731" s="1630"/>
      <c r="H731" s="1629"/>
      <c r="I731" s="1631"/>
      <c r="J731" s="1539" t="s">
        <v>70</v>
      </c>
      <c r="K731" s="1544"/>
      <c r="L731" s="1539"/>
      <c r="M731" s="1538"/>
      <c r="N731" s="1615"/>
      <c r="O731" s="1360"/>
      <c r="P731" s="1358"/>
      <c r="Q731" s="1617"/>
      <c r="R731" s="1735">
        <v>1</v>
      </c>
      <c r="S731" s="1356" t="s">
        <v>101</v>
      </c>
      <c r="T731" s="972" t="s">
        <v>90</v>
      </c>
      <c r="U731" s="1694" t="s">
        <v>1067</v>
      </c>
      <c r="V731" s="1314">
        <f t="shared" si="86"/>
        <v>50</v>
      </c>
      <c r="W731" s="26"/>
      <c r="X731" s="26"/>
      <c r="Y731" s="26"/>
      <c r="Z731" s="27"/>
      <c r="AA731" s="41"/>
      <c r="AB731" s="42"/>
    </row>
    <row r="732" spans="1:28" s="9" customFormat="1" ht="30">
      <c r="A732" s="944"/>
      <c r="B732" s="922"/>
      <c r="C732" s="1551" t="s">
        <v>1010</v>
      </c>
      <c r="D732" s="1351">
        <v>111</v>
      </c>
      <c r="E732" s="1629" t="s">
        <v>68</v>
      </c>
      <c r="F732" s="1353">
        <v>17</v>
      </c>
      <c r="G732" s="1630"/>
      <c r="H732" s="1629"/>
      <c r="I732" s="1631"/>
      <c r="J732" s="1539" t="s">
        <v>69</v>
      </c>
      <c r="K732" s="1544"/>
      <c r="L732" s="1539"/>
      <c r="M732" s="1538"/>
      <c r="N732" s="1615"/>
      <c r="O732" s="1360"/>
      <c r="P732" s="1358"/>
      <c r="Q732" s="1617"/>
      <c r="R732" s="1735">
        <v>1</v>
      </c>
      <c r="S732" s="1356" t="s">
        <v>101</v>
      </c>
      <c r="T732" s="972" t="s">
        <v>90</v>
      </c>
      <c r="U732" s="1694" t="s">
        <v>1067</v>
      </c>
      <c r="V732" s="1314">
        <f t="shared" si="86"/>
        <v>50</v>
      </c>
      <c r="W732" s="26"/>
      <c r="X732" s="26"/>
      <c r="Y732" s="26"/>
      <c r="Z732" s="27"/>
      <c r="AA732" s="41"/>
      <c r="AB732" s="42"/>
    </row>
    <row r="733" spans="1:28" s="507" customFormat="1" ht="30">
      <c r="A733" s="499"/>
      <c r="B733" s="500"/>
      <c r="C733" s="1551" t="s">
        <v>1010</v>
      </c>
      <c r="D733" s="156">
        <v>111</v>
      </c>
      <c r="E733" s="86" t="s">
        <v>68</v>
      </c>
      <c r="F733" s="155">
        <v>17</v>
      </c>
      <c r="G733" s="156"/>
      <c r="H733" s="86"/>
      <c r="I733" s="155"/>
      <c r="J733" s="1539" t="s">
        <v>70</v>
      </c>
      <c r="K733" s="1633"/>
      <c r="L733" s="1539"/>
      <c r="M733" s="1549"/>
      <c r="N733" s="1550"/>
      <c r="O733" s="1346"/>
      <c r="P733" s="1343"/>
      <c r="Q733" s="1627"/>
      <c r="R733" s="1634">
        <v>1</v>
      </c>
      <c r="S733" s="509" t="s">
        <v>101</v>
      </c>
      <c r="T733" s="262" t="s">
        <v>90</v>
      </c>
      <c r="U733" s="212" t="s">
        <v>1067</v>
      </c>
      <c r="V733" s="1760">
        <f>V734</f>
        <v>50</v>
      </c>
      <c r="W733" s="503"/>
      <c r="X733" s="503"/>
      <c r="Y733" s="503"/>
      <c r="Z733" s="504"/>
      <c r="AA733" s="505"/>
      <c r="AB733" s="506"/>
    </row>
    <row r="734" spans="1:28" s="515" customFormat="1" ht="30">
      <c r="A734" s="510"/>
      <c r="B734" s="500"/>
      <c r="C734" s="1551" t="s">
        <v>1010</v>
      </c>
      <c r="D734" s="156">
        <v>112</v>
      </c>
      <c r="E734" s="86" t="s">
        <v>68</v>
      </c>
      <c r="F734" s="155">
        <v>6</v>
      </c>
      <c r="G734" s="156"/>
      <c r="H734" s="86"/>
      <c r="I734" s="155"/>
      <c r="J734" s="1538" t="s">
        <v>69</v>
      </c>
      <c r="K734" s="1539"/>
      <c r="L734" s="1539"/>
      <c r="M734" s="1549"/>
      <c r="N734" s="1550"/>
      <c r="O734" s="135"/>
      <c r="P734" s="134"/>
      <c r="Q734" s="133"/>
      <c r="R734" s="508">
        <v>1</v>
      </c>
      <c r="S734" s="512" t="s">
        <v>101</v>
      </c>
      <c r="T734" s="262" t="s">
        <v>90</v>
      </c>
      <c r="U734" s="956" t="s">
        <v>1067</v>
      </c>
      <c r="V734" s="1760">
        <f t="shared" ref="V734:V735" si="87">V735</f>
        <v>50</v>
      </c>
      <c r="W734" s="513"/>
      <c r="X734" s="513"/>
      <c r="Y734" s="513"/>
      <c r="Z734" s="514"/>
    </row>
    <row r="735" spans="1:28" s="515" customFormat="1" ht="30">
      <c r="A735" s="510"/>
      <c r="B735" s="128"/>
      <c r="C735" s="127" t="s">
        <v>1010</v>
      </c>
      <c r="D735" s="156">
        <v>112</v>
      </c>
      <c r="E735" s="86" t="s">
        <v>68</v>
      </c>
      <c r="F735" s="155">
        <v>6</v>
      </c>
      <c r="G735" s="85"/>
      <c r="H735" s="86"/>
      <c r="I735" s="87"/>
      <c r="J735" s="138" t="s">
        <v>70</v>
      </c>
      <c r="K735" s="137"/>
      <c r="L735" s="134"/>
      <c r="M735" s="136"/>
      <c r="N735" s="135"/>
      <c r="O735" s="135"/>
      <c r="P735" s="134"/>
      <c r="Q735" s="133"/>
      <c r="R735" s="1761">
        <v>1</v>
      </c>
      <c r="S735" s="132" t="s">
        <v>101</v>
      </c>
      <c r="T735" s="960" t="s">
        <v>90</v>
      </c>
      <c r="U735" s="1736" t="s">
        <v>1067</v>
      </c>
      <c r="V735" s="1760">
        <f t="shared" si="87"/>
        <v>50</v>
      </c>
      <c r="AB735" s="961"/>
    </row>
    <row r="736" spans="1:28" s="8" customFormat="1" ht="15.75">
      <c r="A736" s="516"/>
      <c r="B736" s="877"/>
      <c r="C736" s="113"/>
      <c r="D736" s="2436" t="s">
        <v>18</v>
      </c>
      <c r="E736" s="2437"/>
      <c r="F736" s="2437"/>
      <c r="G736" s="2437"/>
      <c r="H736" s="2437"/>
      <c r="I736" s="2438"/>
      <c r="J736" s="2439">
        <f>VLOOKUP(A738,'12 - FINANCEIRA'!_xlnm.Print_Area,6,FALSE)</f>
        <v>50</v>
      </c>
      <c r="K736" s="2440"/>
      <c r="L736" s="519" t="str">
        <f>VLOOKUP(A738,'12 - FINANCEIRA'!_xlnm.Print_Area,4,FALSE)</f>
        <v>und</v>
      </c>
      <c r="M736" s="2441" t="s">
        <v>19</v>
      </c>
      <c r="N736" s="2442"/>
      <c r="O736" s="2442"/>
      <c r="P736" s="2442"/>
      <c r="Q736" s="2443"/>
      <c r="R736" s="878">
        <f>SUM(R686:R735)</f>
        <v>50</v>
      </c>
      <c r="S736" s="520" t="str">
        <f>L736</f>
        <v>und</v>
      </c>
      <c r="T736" s="1028"/>
      <c r="U736" s="663"/>
      <c r="V736" s="1314">
        <f>V737</f>
        <v>50</v>
      </c>
      <c r="AB736" s="15"/>
    </row>
    <row r="737" spans="1:36" s="8" customFormat="1" ht="15.75">
      <c r="A737" s="516"/>
      <c r="B737" s="877"/>
      <c r="C737" s="681"/>
      <c r="D737" s="2444" t="s">
        <v>20</v>
      </c>
      <c r="E737" s="2445"/>
      <c r="F737" s="2445"/>
      <c r="G737" s="2445"/>
      <c r="H737" s="2445"/>
      <c r="I737" s="2446"/>
      <c r="J737" s="2450">
        <f>R736/J736</f>
        <v>1</v>
      </c>
      <c r="K737" s="2451"/>
      <c r="L737" s="2454"/>
      <c r="M737" s="2441" t="s">
        <v>21</v>
      </c>
      <c r="N737" s="2442"/>
      <c r="O737" s="2442"/>
      <c r="P737" s="2442"/>
      <c r="Q737" s="2443"/>
      <c r="R737" s="878">
        <f>VLOOKUP(A738,'12 - FINANCEIRA'!_xlnm.Print_Area,8,FALSE)</f>
        <v>0</v>
      </c>
      <c r="S737" s="879" t="str">
        <f>L736</f>
        <v>und</v>
      </c>
      <c r="T737" s="680"/>
      <c r="U737" s="663"/>
      <c r="V737" s="1314">
        <f>V738</f>
        <v>50</v>
      </c>
      <c r="AB737" s="15"/>
    </row>
    <row r="738" spans="1:36" s="8" customFormat="1" ht="15.75">
      <c r="A738" s="516" t="s">
        <v>961</v>
      </c>
      <c r="B738" s="877"/>
      <c r="C738" s="113"/>
      <c r="D738" s="2447"/>
      <c r="E738" s="2448"/>
      <c r="F738" s="2448"/>
      <c r="G738" s="2448"/>
      <c r="H738" s="2448"/>
      <c r="I738" s="2449"/>
      <c r="J738" s="2452"/>
      <c r="K738" s="2453"/>
      <c r="L738" s="2455"/>
      <c r="M738" s="2456" t="s">
        <v>22</v>
      </c>
      <c r="N738" s="2457"/>
      <c r="O738" s="2457"/>
      <c r="P738" s="2457"/>
      <c r="Q738" s="2458"/>
      <c r="R738" s="521">
        <f>R736-R737</f>
        <v>50</v>
      </c>
      <c r="S738" s="522" t="str">
        <f>L736</f>
        <v>und</v>
      </c>
      <c r="T738" s="680"/>
      <c r="U738" s="663"/>
      <c r="V738" s="1314">
        <f>R738</f>
        <v>50</v>
      </c>
      <c r="AB738" s="15"/>
    </row>
    <row r="739" spans="1:36" s="8" customFormat="1" ht="15.75">
      <c r="A739" s="516"/>
      <c r="B739" s="523"/>
      <c r="C739" s="524"/>
      <c r="D739" s="526"/>
      <c r="E739" s="526"/>
      <c r="F739" s="526"/>
      <c r="G739" s="525"/>
      <c r="H739" s="525"/>
      <c r="I739" s="525"/>
      <c r="J739" s="527"/>
      <c r="K739" s="528"/>
      <c r="L739" s="529"/>
      <c r="M739" s="530"/>
      <c r="N739" s="530"/>
      <c r="O739" s="530"/>
      <c r="P739" s="530"/>
      <c r="Q739" s="530"/>
      <c r="R739" s="531"/>
      <c r="S739" s="532"/>
      <c r="T739" s="533"/>
      <c r="U739" s="534"/>
      <c r="V739" s="1658">
        <f>SUM(V684:V738)</f>
        <v>2750</v>
      </c>
      <c r="AB739" s="15"/>
    </row>
    <row r="740" spans="1:36" s="497" customFormat="1" ht="15.75" customHeight="1">
      <c r="A740" s="495"/>
      <c r="B740" s="2423" t="str">
        <f>VLOOKUP(A748,'12 - FINANCEIRA'!_xlnm.Print_Area,1,FALSE)</f>
        <v>3.2.6</v>
      </c>
      <c r="C740" s="2421" t="str">
        <f>VLOOKUP(A748,'12 - FINANCEIRA'!_xlnm.Print_Area,3,FALSE)</f>
        <v>Rede Esg PVC NBR 7362 150 até 1,25m s/Pav</v>
      </c>
      <c r="D740" s="2479" t="s">
        <v>97</v>
      </c>
      <c r="E740" s="2480"/>
      <c r="F740" s="2480"/>
      <c r="G740" s="2480"/>
      <c r="H740" s="2480"/>
      <c r="I740" s="2481"/>
      <c r="J740" s="2416" t="s">
        <v>98</v>
      </c>
      <c r="K740" s="2416" t="s">
        <v>102</v>
      </c>
      <c r="L740" s="2416" t="s">
        <v>103</v>
      </c>
      <c r="M740" s="2416" t="s">
        <v>228</v>
      </c>
      <c r="N740" s="2416" t="s">
        <v>229</v>
      </c>
      <c r="O740" s="2416" t="s">
        <v>107</v>
      </c>
      <c r="P740" s="2416" t="s">
        <v>1030</v>
      </c>
      <c r="Q740" s="2425" t="s">
        <v>2</v>
      </c>
      <c r="R740" s="2425" t="s">
        <v>2</v>
      </c>
      <c r="S740" s="2416" t="s">
        <v>99</v>
      </c>
      <c r="T740" s="2416" t="s">
        <v>17</v>
      </c>
      <c r="U740" s="2428" t="s">
        <v>362</v>
      </c>
      <c r="V740" s="1314">
        <f t="shared" ref="V740:V745" si="88">V741</f>
        <v>303</v>
      </c>
      <c r="W740" s="26"/>
      <c r="X740" s="26"/>
      <c r="Y740" s="26"/>
      <c r="Z740" s="27"/>
      <c r="AA740" s="9"/>
      <c r="AB740" s="9"/>
      <c r="AC740" s="9"/>
      <c r="AD740" s="9"/>
      <c r="AE740" s="9"/>
      <c r="AF740" s="9"/>
      <c r="AG740" s="9"/>
      <c r="AH740" s="9"/>
      <c r="AI740" s="9"/>
      <c r="AJ740" s="9"/>
    </row>
    <row r="741" spans="1:36" s="497" customFormat="1" ht="15.75">
      <c r="A741" s="495"/>
      <c r="B741" s="2471" t="e">
        <f>LEFT(#REF!,5)</f>
        <v>#REF!</v>
      </c>
      <c r="C741" s="2472" t="e">
        <f>VLOOKUP(LEFT(#REF!,5),'12 - FINANCEIRA'!_xlnm.Print_Area,2,FALSE)</f>
        <v>#REF!</v>
      </c>
      <c r="D741" s="2430" t="s">
        <v>14</v>
      </c>
      <c r="E741" s="2431"/>
      <c r="F741" s="2432"/>
      <c r="G741" s="2433" t="s">
        <v>15</v>
      </c>
      <c r="H741" s="2434"/>
      <c r="I741" s="2435"/>
      <c r="J741" s="2427"/>
      <c r="K741" s="2427"/>
      <c r="L741" s="2427"/>
      <c r="M741" s="2427"/>
      <c r="N741" s="2427"/>
      <c r="O741" s="2427"/>
      <c r="P741" s="2417"/>
      <c r="Q741" s="2426"/>
      <c r="R741" s="2426"/>
      <c r="S741" s="2427"/>
      <c r="T741" s="2427"/>
      <c r="U741" s="2429"/>
      <c r="V741" s="1314">
        <f t="shared" si="88"/>
        <v>303</v>
      </c>
      <c r="W741" s="26"/>
      <c r="X741" s="26"/>
      <c r="Y741" s="26"/>
      <c r="Z741" s="27"/>
      <c r="AA741" s="9"/>
      <c r="AB741" s="9"/>
      <c r="AC741" s="9"/>
      <c r="AD741" s="9"/>
      <c r="AE741" s="9"/>
      <c r="AF741" s="9"/>
      <c r="AG741" s="9"/>
      <c r="AH741" s="9"/>
      <c r="AI741" s="9"/>
      <c r="AJ741" s="9"/>
    </row>
    <row r="742" spans="1:36" s="515" customFormat="1" ht="15">
      <c r="A742" s="510"/>
      <c r="B742" s="500"/>
      <c r="C742" s="1551" t="s">
        <v>1053</v>
      </c>
      <c r="D742" s="156">
        <v>3</v>
      </c>
      <c r="E742" s="86" t="s">
        <v>68</v>
      </c>
      <c r="F742" s="155">
        <v>1</v>
      </c>
      <c r="G742" s="156">
        <v>11</v>
      </c>
      <c r="H742" s="86" t="s">
        <v>68</v>
      </c>
      <c r="I742" s="155">
        <v>7</v>
      </c>
      <c r="J742" s="1538" t="s">
        <v>70</v>
      </c>
      <c r="K742" s="1539">
        <v>166</v>
      </c>
      <c r="L742" s="1539"/>
      <c r="M742" s="1539"/>
      <c r="N742" s="1552"/>
      <c r="O742" s="135"/>
      <c r="P742" s="134"/>
      <c r="Q742" s="133"/>
      <c r="R742" s="1730">
        <v>166</v>
      </c>
      <c r="S742" s="512"/>
      <c r="T742" s="262" t="s">
        <v>90</v>
      </c>
      <c r="U742" s="956"/>
      <c r="V742" s="1314">
        <f t="shared" si="88"/>
        <v>303</v>
      </c>
      <c r="W742" s="938"/>
      <c r="X742" s="938"/>
      <c r="Y742" s="513"/>
      <c r="Z742" s="514"/>
    </row>
    <row r="743" spans="1:36" s="9" customFormat="1" ht="15">
      <c r="A743" s="944"/>
      <c r="B743" s="922"/>
      <c r="C743" s="1551" t="s">
        <v>1053</v>
      </c>
      <c r="D743" s="156">
        <v>11</v>
      </c>
      <c r="E743" s="86" t="s">
        <v>68</v>
      </c>
      <c r="F743" s="155">
        <v>7</v>
      </c>
      <c r="G743" s="156">
        <v>14</v>
      </c>
      <c r="H743" s="86" t="s">
        <v>68</v>
      </c>
      <c r="I743" s="155">
        <v>17</v>
      </c>
      <c r="J743" s="1539" t="s">
        <v>70</v>
      </c>
      <c r="K743" s="1633">
        <v>40</v>
      </c>
      <c r="L743" s="1539"/>
      <c r="M743" s="1729"/>
      <c r="N743" s="1550"/>
      <c r="O743" s="1346"/>
      <c r="P743" s="1343"/>
      <c r="Q743" s="1627"/>
      <c r="R743" s="1634">
        <v>40</v>
      </c>
      <c r="S743" s="509"/>
      <c r="T743" s="262" t="s">
        <v>90</v>
      </c>
      <c r="U743" s="212"/>
      <c r="V743" s="1314">
        <f t="shared" si="88"/>
        <v>303</v>
      </c>
      <c r="W743" s="26"/>
      <c r="X743" s="26"/>
      <c r="Y743" s="26"/>
      <c r="Z743" s="27"/>
      <c r="AA743" s="41"/>
      <c r="AB743" s="42"/>
    </row>
    <row r="744" spans="1:36" s="9" customFormat="1" ht="15">
      <c r="A744" s="944"/>
      <c r="B744" s="922"/>
      <c r="C744" s="1551" t="s">
        <v>1052</v>
      </c>
      <c r="D744" s="156">
        <v>100</v>
      </c>
      <c r="E744" s="86" t="s">
        <v>68</v>
      </c>
      <c r="F744" s="155">
        <v>0</v>
      </c>
      <c r="G744" s="156"/>
      <c r="H744" s="86"/>
      <c r="I744" s="155"/>
      <c r="J744" s="1539" t="s">
        <v>106</v>
      </c>
      <c r="K744" s="1633">
        <v>7</v>
      </c>
      <c r="L744" s="1539"/>
      <c r="M744" s="1549"/>
      <c r="N744" s="1550"/>
      <c r="O744" s="1346"/>
      <c r="P744" s="1343"/>
      <c r="Q744" s="1627"/>
      <c r="R744" s="1634">
        <v>7</v>
      </c>
      <c r="S744" s="509"/>
      <c r="T744" s="262" t="s">
        <v>90</v>
      </c>
      <c r="U744" s="1620" t="s">
        <v>1011</v>
      </c>
      <c r="V744" s="1314">
        <f t="shared" si="88"/>
        <v>303</v>
      </c>
      <c r="W744" s="26"/>
      <c r="X744" s="26"/>
      <c r="Y744" s="26"/>
      <c r="Z744" s="27"/>
      <c r="AA744" s="41"/>
      <c r="AB744" s="42"/>
    </row>
    <row r="745" spans="1:36" s="9" customFormat="1" ht="15">
      <c r="A745" s="944"/>
      <c r="B745" s="925"/>
      <c r="C745" s="1746" t="s">
        <v>1052</v>
      </c>
      <c r="D745" s="1096">
        <v>100</v>
      </c>
      <c r="E745" s="1747" t="s">
        <v>68</v>
      </c>
      <c r="F745" s="1098">
        <v>0</v>
      </c>
      <c r="G745" s="1748">
        <v>105</v>
      </c>
      <c r="H745" s="1747" t="s">
        <v>68</v>
      </c>
      <c r="I745" s="1749">
        <v>10</v>
      </c>
      <c r="J745" s="1750" t="s">
        <v>70</v>
      </c>
      <c r="K745" s="1751">
        <v>90</v>
      </c>
      <c r="L745" s="1750"/>
      <c r="M745" s="1752"/>
      <c r="N745" s="1753"/>
      <c r="O745" s="120"/>
      <c r="P745" s="119"/>
      <c r="Q745" s="246"/>
      <c r="R745" s="1754">
        <v>90</v>
      </c>
      <c r="S745" s="123"/>
      <c r="T745" s="960" t="s">
        <v>90</v>
      </c>
      <c r="U745" s="1736"/>
      <c r="V745" s="1314">
        <f t="shared" si="88"/>
        <v>303</v>
      </c>
      <c r="W745" s="26"/>
      <c r="X745" s="26"/>
      <c r="Y745" s="26"/>
      <c r="Z745" s="27"/>
      <c r="AA745" s="41"/>
      <c r="AB745" s="42"/>
    </row>
    <row r="746" spans="1:36" s="8" customFormat="1" ht="15.75">
      <c r="A746" s="516"/>
      <c r="B746" s="877"/>
      <c r="C746" s="113"/>
      <c r="D746" s="2459" t="s">
        <v>18</v>
      </c>
      <c r="E746" s="2460"/>
      <c r="F746" s="2460"/>
      <c r="G746" s="2460"/>
      <c r="H746" s="2460"/>
      <c r="I746" s="2461"/>
      <c r="J746" s="2462">
        <f>VLOOKUP(A748,'12 - FINANCEIRA'!_xlnm.Print_Area,6,FALSE)</f>
        <v>303</v>
      </c>
      <c r="K746" s="2463"/>
      <c r="L746" s="1744" t="str">
        <f>VLOOKUP(A748,'12 - FINANCEIRA'!_xlnm.Print_Area,4,FALSE)</f>
        <v>m</v>
      </c>
      <c r="M746" s="2464" t="s">
        <v>19</v>
      </c>
      <c r="N746" s="2465"/>
      <c r="O746" s="2465"/>
      <c r="P746" s="2465"/>
      <c r="Q746" s="2466"/>
      <c r="R746" s="1154">
        <f>SUM(R742:R745)</f>
        <v>303</v>
      </c>
      <c r="S746" s="1745" t="str">
        <f>L746</f>
        <v>m</v>
      </c>
      <c r="T746" s="680"/>
      <c r="U746" s="663"/>
      <c r="V746" s="1314">
        <f>V747</f>
        <v>303</v>
      </c>
      <c r="AB746" s="15"/>
    </row>
    <row r="747" spans="1:36" s="8" customFormat="1" ht="15.75">
      <c r="A747" s="516"/>
      <c r="B747" s="877"/>
      <c r="C747" s="681"/>
      <c r="D747" s="2444" t="s">
        <v>20</v>
      </c>
      <c r="E747" s="2445"/>
      <c r="F747" s="2445"/>
      <c r="G747" s="2445"/>
      <c r="H747" s="2445"/>
      <c r="I747" s="2446"/>
      <c r="J747" s="2450">
        <f>R746/J746</f>
        <v>1</v>
      </c>
      <c r="K747" s="2451"/>
      <c r="L747" s="2454"/>
      <c r="M747" s="2441" t="s">
        <v>21</v>
      </c>
      <c r="N747" s="2442"/>
      <c r="O747" s="2442"/>
      <c r="P747" s="2442"/>
      <c r="Q747" s="2443"/>
      <c r="R747" s="878">
        <f>VLOOKUP(A748,'12 - FINANCEIRA'!_xlnm.Print_Area,8,FALSE)</f>
        <v>0</v>
      </c>
      <c r="S747" s="879" t="str">
        <f>L746</f>
        <v>m</v>
      </c>
      <c r="T747" s="680"/>
      <c r="U747" s="663"/>
      <c r="V747" s="1314">
        <f>V748</f>
        <v>303</v>
      </c>
      <c r="AB747" s="15"/>
    </row>
    <row r="748" spans="1:36" s="8" customFormat="1" ht="15.75">
      <c r="A748" s="516" t="s">
        <v>963</v>
      </c>
      <c r="B748" s="880"/>
      <c r="C748" s="885"/>
      <c r="D748" s="2475"/>
      <c r="E748" s="2460"/>
      <c r="F748" s="2460"/>
      <c r="G748" s="2460"/>
      <c r="H748" s="2460"/>
      <c r="I748" s="2476"/>
      <c r="J748" s="2477"/>
      <c r="K748" s="2478"/>
      <c r="L748" s="2483"/>
      <c r="M748" s="2441" t="s">
        <v>22</v>
      </c>
      <c r="N748" s="2442"/>
      <c r="O748" s="2442"/>
      <c r="P748" s="2442"/>
      <c r="Q748" s="2443"/>
      <c r="R748" s="878">
        <f>R746-R747</f>
        <v>303</v>
      </c>
      <c r="S748" s="879" t="str">
        <f>L746</f>
        <v>m</v>
      </c>
      <c r="T748" s="886"/>
      <c r="U748" s="881"/>
      <c r="V748" s="1314">
        <f>R748</f>
        <v>303</v>
      </c>
      <c r="AB748" s="15"/>
    </row>
    <row r="749" spans="1:36" s="8" customFormat="1" ht="15.75">
      <c r="A749" s="516"/>
      <c r="B749" s="523"/>
      <c r="C749" s="524"/>
      <c r="D749" s="526"/>
      <c r="E749" s="526"/>
      <c r="F749" s="526"/>
      <c r="G749" s="525"/>
      <c r="H749" s="525"/>
      <c r="I749" s="525"/>
      <c r="J749" s="527"/>
      <c r="K749" s="528"/>
      <c r="L749" s="529"/>
      <c r="M749" s="530"/>
      <c r="N749" s="530"/>
      <c r="O749" s="530"/>
      <c r="P749" s="530"/>
      <c r="Q749" s="530"/>
      <c r="R749" s="531"/>
      <c r="S749" s="532"/>
      <c r="T749" s="533"/>
      <c r="U749" s="534"/>
      <c r="V749" s="1658">
        <f>SUM(V740:V748)</f>
        <v>2727</v>
      </c>
      <c r="AB749" s="15"/>
    </row>
    <row r="750" spans="1:36" s="497" customFormat="1" ht="15.75">
      <c r="A750" s="495"/>
      <c r="B750" s="2423" t="str">
        <f>VLOOKUP(A758,'12 - FINANCEIRA'!_xlnm.Print_Area,1,FALSE)</f>
        <v>3.2.7</v>
      </c>
      <c r="C750" s="2421" t="str">
        <f>VLOOKUP(A758,'12 - FINANCEIRA'!_xlnm.Print_Area,3,FALSE)</f>
        <v>Rede Esg PVC NBR 7362 200 até 1,25m s/Pav</v>
      </c>
      <c r="D750" s="2479" t="s">
        <v>97</v>
      </c>
      <c r="E750" s="2480"/>
      <c r="F750" s="2480"/>
      <c r="G750" s="2480"/>
      <c r="H750" s="2480"/>
      <c r="I750" s="2481"/>
      <c r="J750" s="2416" t="s">
        <v>98</v>
      </c>
      <c r="K750" s="2416" t="s">
        <v>102</v>
      </c>
      <c r="L750" s="2416" t="s">
        <v>103</v>
      </c>
      <c r="M750" s="2416" t="s">
        <v>228</v>
      </c>
      <c r="N750" s="2416" t="s">
        <v>229</v>
      </c>
      <c r="O750" s="2416" t="s">
        <v>107</v>
      </c>
      <c r="P750" s="496" t="s">
        <v>153</v>
      </c>
      <c r="Q750" s="2416" t="s">
        <v>16</v>
      </c>
      <c r="R750" s="2425" t="s">
        <v>2</v>
      </c>
      <c r="S750" s="2416" t="s">
        <v>99</v>
      </c>
      <c r="T750" s="2416" t="s">
        <v>17</v>
      </c>
      <c r="U750" s="2428" t="s">
        <v>362</v>
      </c>
      <c r="V750" s="1314">
        <f>V751</f>
        <v>7</v>
      </c>
      <c r="W750" s="26"/>
      <c r="X750" s="26"/>
      <c r="Y750" s="26"/>
      <c r="Z750" s="27"/>
      <c r="AA750" s="9"/>
      <c r="AB750" s="9"/>
      <c r="AC750" s="9"/>
      <c r="AD750" s="9"/>
      <c r="AE750" s="9"/>
      <c r="AF750" s="9"/>
      <c r="AG750" s="9"/>
      <c r="AH750" s="9"/>
      <c r="AI750" s="9"/>
      <c r="AJ750" s="9"/>
    </row>
    <row r="751" spans="1:36" s="497" customFormat="1" ht="15.75">
      <c r="A751" s="495"/>
      <c r="B751" s="2471" t="e">
        <f>LEFT(#REF!,5)</f>
        <v>#REF!</v>
      </c>
      <c r="C751" s="2472" t="e">
        <f>VLOOKUP(LEFT(#REF!,5),'12 - FINANCEIRA'!_xlnm.Print_Area,2,FALSE)</f>
        <v>#REF!</v>
      </c>
      <c r="D751" s="2430" t="s">
        <v>14</v>
      </c>
      <c r="E751" s="2431"/>
      <c r="F751" s="2432"/>
      <c r="G751" s="2433" t="s">
        <v>15</v>
      </c>
      <c r="H751" s="2434"/>
      <c r="I751" s="2435"/>
      <c r="J751" s="2427"/>
      <c r="K751" s="2427"/>
      <c r="L751" s="2427"/>
      <c r="M751" s="2427"/>
      <c r="N751" s="2427"/>
      <c r="O751" s="2427"/>
      <c r="P751" s="498" t="s">
        <v>104</v>
      </c>
      <c r="Q751" s="2427"/>
      <c r="R751" s="2426"/>
      <c r="S751" s="2427"/>
      <c r="T751" s="2427"/>
      <c r="U751" s="2429"/>
      <c r="V751" s="1314">
        <f>V752</f>
        <v>7</v>
      </c>
      <c r="W751" s="26"/>
      <c r="X751" s="26"/>
      <c r="Y751" s="26"/>
      <c r="Z751" s="27"/>
      <c r="AA751" s="9"/>
      <c r="AB751" s="9"/>
      <c r="AC751" s="9"/>
      <c r="AD751" s="9"/>
      <c r="AE751" s="9"/>
      <c r="AF751" s="9"/>
      <c r="AG751" s="9"/>
      <c r="AH751" s="9"/>
      <c r="AI751" s="9"/>
      <c r="AJ751" s="9"/>
    </row>
    <row r="752" spans="1:36" s="515" customFormat="1" ht="15">
      <c r="A752" s="510"/>
      <c r="B752" s="968"/>
      <c r="C752" s="76" t="s">
        <v>1052</v>
      </c>
      <c r="D752" s="962">
        <v>112</v>
      </c>
      <c r="E752" s="963" t="s">
        <v>68</v>
      </c>
      <c r="F752" s="964">
        <v>0</v>
      </c>
      <c r="G752" s="965"/>
      <c r="H752" s="963"/>
      <c r="I752" s="966"/>
      <c r="J752" s="77" t="s">
        <v>106</v>
      </c>
      <c r="K752" s="215"/>
      <c r="L752" s="215"/>
      <c r="M752" s="969"/>
      <c r="N752" s="970"/>
      <c r="O752" s="224"/>
      <c r="P752" s="215"/>
      <c r="Q752" s="971"/>
      <c r="R752" s="1108">
        <v>7</v>
      </c>
      <c r="S752" s="1109" t="s">
        <v>8</v>
      </c>
      <c r="T752" s="972" t="s">
        <v>90</v>
      </c>
      <c r="U752" s="1795" t="s">
        <v>1011</v>
      </c>
      <c r="V752" s="1314">
        <f>V753</f>
        <v>7</v>
      </c>
      <c r="W752" s="513"/>
      <c r="X752" s="513"/>
      <c r="Y752" s="513"/>
      <c r="Z752" s="514"/>
      <c r="AA752" s="513"/>
      <c r="AB752" s="961"/>
    </row>
    <row r="753" spans="1:36" s="515" customFormat="1" ht="15">
      <c r="A753" s="510"/>
      <c r="B753" s="968"/>
      <c r="C753" s="30"/>
      <c r="D753" s="31"/>
      <c r="E753" s="32"/>
      <c r="F753" s="33"/>
      <c r="G753" s="894"/>
      <c r="H753" s="32"/>
      <c r="I753" s="895"/>
      <c r="J753" s="34"/>
      <c r="K753" s="84"/>
      <c r="L753" s="35"/>
      <c r="M753" s="36"/>
      <c r="N753" s="889"/>
      <c r="O753" s="81"/>
      <c r="P753" s="35"/>
      <c r="Q753" s="882"/>
      <c r="R753" s="883"/>
      <c r="S753" s="1035"/>
      <c r="T753" s="857"/>
      <c r="U753" s="78"/>
      <c r="V753" s="1314">
        <f>V754</f>
        <v>7</v>
      </c>
      <c r="W753" s="938"/>
      <c r="X753" s="938"/>
      <c r="Y753" s="513"/>
      <c r="Z753" s="514"/>
      <c r="AA753" s="513"/>
      <c r="AB753" s="961"/>
    </row>
    <row r="754" spans="1:36" s="515" customFormat="1" ht="15">
      <c r="A754" s="510"/>
      <c r="B754" s="968"/>
      <c r="C754" s="30"/>
      <c r="D754" s="31"/>
      <c r="E754" s="32"/>
      <c r="F754" s="33"/>
      <c r="G754" s="894"/>
      <c r="H754" s="32"/>
      <c r="I754" s="895"/>
      <c r="J754" s="34"/>
      <c r="K754" s="84"/>
      <c r="L754" s="35"/>
      <c r="M754" s="36"/>
      <c r="N754" s="81"/>
      <c r="O754" s="81"/>
      <c r="P754" s="35"/>
      <c r="Q754" s="37"/>
      <c r="R754" s="1036"/>
      <c r="S754" s="884"/>
      <c r="T754" s="857"/>
      <c r="U754" s="78"/>
      <c r="V754" s="1314">
        <f t="shared" ref="V754:V755" si="89">V755</f>
        <v>7</v>
      </c>
      <c r="W754" s="938"/>
      <c r="X754" s="938"/>
      <c r="Y754" s="513"/>
      <c r="Z754" s="514"/>
    </row>
    <row r="755" spans="1:36" s="515" customFormat="1" ht="15">
      <c r="A755" s="510"/>
      <c r="B755" s="975"/>
      <c r="C755" s="967"/>
      <c r="D755" s="962"/>
      <c r="E755" s="963"/>
      <c r="F755" s="964"/>
      <c r="G755" s="965"/>
      <c r="H755" s="963"/>
      <c r="I755" s="966"/>
      <c r="J755" s="77"/>
      <c r="K755" s="973"/>
      <c r="L755" s="215"/>
      <c r="M755" s="969"/>
      <c r="N755" s="224"/>
      <c r="O755" s="224"/>
      <c r="P755" s="215"/>
      <c r="Q755" s="974"/>
      <c r="R755" s="985"/>
      <c r="S755" s="976"/>
      <c r="T755" s="1027"/>
      <c r="U755" s="977"/>
      <c r="V755" s="1314">
        <f t="shared" si="89"/>
        <v>7</v>
      </c>
      <c r="W755" s="8"/>
      <c r="X755" s="8"/>
      <c r="AB755" s="961"/>
    </row>
    <row r="756" spans="1:36" s="8" customFormat="1" ht="15.75">
      <c r="A756" s="516"/>
      <c r="B756" s="877"/>
      <c r="C756" s="113"/>
      <c r="D756" s="2436" t="s">
        <v>18</v>
      </c>
      <c r="E756" s="2437"/>
      <c r="F756" s="2437"/>
      <c r="G756" s="2437"/>
      <c r="H756" s="2437"/>
      <c r="I756" s="2438"/>
      <c r="J756" s="2439">
        <f>VLOOKUP(A758,'12 - FINANCEIRA'!_xlnm.Print_Area,6,FALSE)</f>
        <v>7</v>
      </c>
      <c r="K756" s="2440"/>
      <c r="L756" s="519" t="str">
        <f>VLOOKUP(A758,'12 - FINANCEIRA'!_xlnm.Print_Area,4,FALSE)</f>
        <v>m</v>
      </c>
      <c r="M756" s="2441" t="s">
        <v>19</v>
      </c>
      <c r="N756" s="2442"/>
      <c r="O756" s="2442"/>
      <c r="P756" s="2442"/>
      <c r="Q756" s="2443"/>
      <c r="R756" s="878">
        <f>SUM(R752:R755)</f>
        <v>7</v>
      </c>
      <c r="S756" s="520" t="str">
        <f>L756</f>
        <v>m</v>
      </c>
      <c r="T756" s="680"/>
      <c r="U756" s="663"/>
      <c r="V756" s="1314">
        <f>V757</f>
        <v>7</v>
      </c>
      <c r="AB756" s="15"/>
    </row>
    <row r="757" spans="1:36" s="8" customFormat="1" ht="15.75">
      <c r="A757" s="516"/>
      <c r="B757" s="877"/>
      <c r="C757" s="681"/>
      <c r="D757" s="2444" t="s">
        <v>20</v>
      </c>
      <c r="E757" s="2445"/>
      <c r="F757" s="2445"/>
      <c r="G757" s="2445"/>
      <c r="H757" s="2445"/>
      <c r="I757" s="2446"/>
      <c r="J757" s="2450">
        <f>R756/J756</f>
        <v>1</v>
      </c>
      <c r="K757" s="2451"/>
      <c r="L757" s="2454"/>
      <c r="M757" s="2441" t="s">
        <v>21</v>
      </c>
      <c r="N757" s="2442"/>
      <c r="O757" s="2442"/>
      <c r="P757" s="2442"/>
      <c r="Q757" s="2443"/>
      <c r="R757" s="878">
        <f>VLOOKUP(A758,'12 - FINANCEIRA'!_xlnm.Print_Area,8,FALSE)</f>
        <v>0</v>
      </c>
      <c r="S757" s="879" t="str">
        <f>L756</f>
        <v>m</v>
      </c>
      <c r="T757" s="680"/>
      <c r="U757" s="663"/>
      <c r="V757" s="1314">
        <f>V758</f>
        <v>7</v>
      </c>
      <c r="AB757" s="15"/>
    </row>
    <row r="758" spans="1:36" s="8" customFormat="1" ht="15.75">
      <c r="A758" s="516" t="s">
        <v>964</v>
      </c>
      <c r="B758" s="877"/>
      <c r="C758" s="113"/>
      <c r="D758" s="2447"/>
      <c r="E758" s="2448"/>
      <c r="F758" s="2448"/>
      <c r="G758" s="2448"/>
      <c r="H758" s="2448"/>
      <c r="I758" s="2449"/>
      <c r="J758" s="2452"/>
      <c r="K758" s="2453"/>
      <c r="L758" s="2455"/>
      <c r="M758" s="2456" t="s">
        <v>22</v>
      </c>
      <c r="N758" s="2457"/>
      <c r="O758" s="2457"/>
      <c r="P758" s="2457"/>
      <c r="Q758" s="2458"/>
      <c r="R758" s="521">
        <f>R756-R757</f>
        <v>7</v>
      </c>
      <c r="S758" s="522" t="str">
        <f>L756</f>
        <v>m</v>
      </c>
      <c r="T758" s="680"/>
      <c r="U758" s="663"/>
      <c r="V758" s="1314">
        <f>R758</f>
        <v>7</v>
      </c>
      <c r="AB758" s="15"/>
    </row>
    <row r="759" spans="1:36" s="8" customFormat="1" ht="15.75">
      <c r="A759" s="516"/>
      <c r="B759" s="523"/>
      <c r="C759" s="524"/>
      <c r="D759" s="526"/>
      <c r="E759" s="526"/>
      <c r="F759" s="526"/>
      <c r="G759" s="525"/>
      <c r="H759" s="525"/>
      <c r="I759" s="525"/>
      <c r="J759" s="527"/>
      <c r="K759" s="528"/>
      <c r="L759" s="529"/>
      <c r="M759" s="530"/>
      <c r="N759" s="530"/>
      <c r="O759" s="530"/>
      <c r="P759" s="530"/>
      <c r="Q759" s="530"/>
      <c r="R759" s="531"/>
      <c r="S759" s="532"/>
      <c r="T759" s="533"/>
      <c r="U759" s="534"/>
      <c r="V759" s="1658">
        <f>SUM(V750:V758)</f>
        <v>63</v>
      </c>
      <c r="AB759" s="15"/>
    </row>
    <row r="760" spans="1:36" s="497" customFormat="1" ht="15.75" customHeight="1">
      <c r="A760" s="495"/>
      <c r="B760" s="2423" t="str">
        <f>VLOOKUP(A769,'12 - FINANCEIRA'!_xlnm.Print_Area,1,FALSE)</f>
        <v>3.2.8</v>
      </c>
      <c r="C760" s="2421" t="str">
        <f>VLOOKUP(A769,'12 - FINANCEIRA'!_xlnm.Print_Area,3,FALSE)</f>
        <v xml:space="preserve">Lig Pred Esg Curta C/Mat S/Pav H0,6A1,0M </v>
      </c>
      <c r="D760" s="2479" t="s">
        <v>97</v>
      </c>
      <c r="E760" s="2480"/>
      <c r="F760" s="2480"/>
      <c r="G760" s="2480"/>
      <c r="H760" s="2480"/>
      <c r="I760" s="2481"/>
      <c r="J760" s="2416" t="s">
        <v>98</v>
      </c>
      <c r="K760" s="2416" t="s">
        <v>102</v>
      </c>
      <c r="L760" s="2416" t="s">
        <v>103</v>
      </c>
      <c r="M760" s="2416" t="s">
        <v>228</v>
      </c>
      <c r="N760" s="2416" t="s">
        <v>229</v>
      </c>
      <c r="O760" s="2416" t="s">
        <v>107</v>
      </c>
      <c r="P760" s="496" t="s">
        <v>526</v>
      </c>
      <c r="Q760" s="2425" t="s">
        <v>2</v>
      </c>
      <c r="R760" s="2425" t="s">
        <v>2</v>
      </c>
      <c r="S760" s="2416" t="s">
        <v>99</v>
      </c>
      <c r="T760" s="2416" t="s">
        <v>17</v>
      </c>
      <c r="U760" s="2428" t="s">
        <v>362</v>
      </c>
      <c r="V760" s="870">
        <f>V761</f>
        <v>0</v>
      </c>
      <c r="W760" s="26"/>
      <c r="X760" s="26"/>
      <c r="Y760" s="26"/>
      <c r="Z760" s="27"/>
      <c r="AA760" s="9"/>
      <c r="AB760" s="9"/>
      <c r="AC760" s="9"/>
      <c r="AD760" s="9"/>
      <c r="AE760" s="9"/>
      <c r="AF760" s="9"/>
      <c r="AG760" s="9"/>
      <c r="AH760" s="9"/>
      <c r="AI760" s="9"/>
      <c r="AJ760" s="9"/>
    </row>
    <row r="761" spans="1:36" s="497" customFormat="1" ht="15.75">
      <c r="A761" s="495"/>
      <c r="B761" s="2424" t="e">
        <f>LEFT(#REF!,5)</f>
        <v>#REF!</v>
      </c>
      <c r="C761" s="2422" t="e">
        <f>VLOOKUP(LEFT(#REF!,5),'12 - FINANCEIRA'!_xlnm.Print_Area,2,FALSE)</f>
        <v>#REF!</v>
      </c>
      <c r="D761" s="2430" t="s">
        <v>14</v>
      </c>
      <c r="E761" s="2431"/>
      <c r="F761" s="2432"/>
      <c r="G761" s="2433" t="s">
        <v>15</v>
      </c>
      <c r="H761" s="2434"/>
      <c r="I761" s="2435"/>
      <c r="J761" s="2417"/>
      <c r="K761" s="2417"/>
      <c r="L761" s="2417"/>
      <c r="M761" s="2417"/>
      <c r="N761" s="2417"/>
      <c r="O761" s="2417"/>
      <c r="P761" s="498" t="s">
        <v>939</v>
      </c>
      <c r="Q761" s="2473"/>
      <c r="R761" s="2473"/>
      <c r="S761" s="2417"/>
      <c r="T761" s="2417"/>
      <c r="U761" s="2474"/>
      <c r="V761" s="870">
        <f>V762</f>
        <v>0</v>
      </c>
      <c r="W761" s="26"/>
      <c r="X761" s="26"/>
      <c r="Y761" s="26"/>
      <c r="Z761" s="27"/>
      <c r="AA761" s="9"/>
      <c r="AB761" s="9"/>
      <c r="AC761" s="9"/>
      <c r="AD761" s="9"/>
      <c r="AE761" s="9"/>
      <c r="AF761" s="9"/>
      <c r="AG761" s="9"/>
      <c r="AH761" s="9"/>
      <c r="AI761" s="9"/>
      <c r="AJ761" s="9"/>
    </row>
    <row r="762" spans="1:36" s="724" customFormat="1" ht="15">
      <c r="A762" s="717"/>
      <c r="B762" s="718"/>
      <c r="C762" s="1350" t="s">
        <v>999</v>
      </c>
      <c r="D762" s="1635"/>
      <c r="E762" s="1636"/>
      <c r="F762" s="1637"/>
      <c r="G762" s="1635"/>
      <c r="H762" s="1636"/>
      <c r="I762" s="1637"/>
      <c r="J762" s="1538"/>
      <c r="K762" s="1638"/>
      <c r="L762" s="1639"/>
      <c r="M762" s="1359"/>
      <c r="N762" s="1640"/>
      <c r="O762" s="1641"/>
      <c r="P762" s="1641"/>
      <c r="Q762" s="215"/>
      <c r="R762" s="1642">
        <v>47</v>
      </c>
      <c r="S762" s="215" t="s">
        <v>101</v>
      </c>
      <c r="T762" s="1643" t="s">
        <v>90</v>
      </c>
      <c r="U762" s="1432"/>
      <c r="V762" s="1314">
        <f>V763</f>
        <v>0</v>
      </c>
      <c r="W762" s="26"/>
      <c r="X762" s="26"/>
      <c r="Y762" s="720"/>
      <c r="Z762" s="721"/>
      <c r="AA762" s="722"/>
      <c r="AB762" s="723"/>
    </row>
    <row r="763" spans="1:36" s="9" customFormat="1" ht="15">
      <c r="A763" s="944"/>
      <c r="B763" s="922"/>
      <c r="C763" s="844"/>
      <c r="D763" s="82"/>
      <c r="E763" s="44"/>
      <c r="F763" s="83"/>
      <c r="G763" s="82"/>
      <c r="H763" s="44"/>
      <c r="I763" s="83"/>
      <c r="J763" s="1439"/>
      <c r="K763" s="1451"/>
      <c r="L763" s="1452"/>
      <c r="M763" s="851"/>
      <c r="N763" s="1453"/>
      <c r="O763" s="1454"/>
      <c r="P763" s="1454"/>
      <c r="Q763" s="35"/>
      <c r="R763" s="1478"/>
      <c r="S763" s="35"/>
      <c r="T763" s="90"/>
      <c r="U763" s="39"/>
      <c r="V763" s="870">
        <f>V764</f>
        <v>0</v>
      </c>
      <c r="W763" s="26"/>
      <c r="X763" s="26"/>
      <c r="Y763" s="26"/>
      <c r="Z763" s="27"/>
      <c r="AA763" s="41"/>
      <c r="AB763" s="42"/>
    </row>
    <row r="764" spans="1:36" s="515" customFormat="1" ht="15">
      <c r="A764" s="510"/>
      <c r="B764" s="500"/>
      <c r="C764" s="1350"/>
      <c r="D764" s="156"/>
      <c r="E764" s="86"/>
      <c r="F764" s="155"/>
      <c r="G764" s="156"/>
      <c r="H764" s="86"/>
      <c r="I764" s="155"/>
      <c r="J764" s="1538"/>
      <c r="K764" s="1539"/>
      <c r="L764" s="1540"/>
      <c r="M764" s="1541"/>
      <c r="N764" s="1542"/>
      <c r="O764" s="1542"/>
      <c r="P764" s="1540"/>
      <c r="Q764" s="215"/>
      <c r="R764" s="1543"/>
      <c r="S764" s="215"/>
      <c r="T764" s="262"/>
      <c r="U764" s="956"/>
      <c r="V764" s="870">
        <f t="shared" ref="V764:V765" si="90">V765</f>
        <v>0</v>
      </c>
      <c r="W764" s="938"/>
      <c r="X764" s="938"/>
      <c r="Y764" s="513"/>
      <c r="Z764" s="514"/>
    </row>
    <row r="765" spans="1:36" s="515" customFormat="1" ht="15">
      <c r="A765" s="510"/>
      <c r="B765" s="1372"/>
      <c r="C765" s="844"/>
      <c r="D765" s="82"/>
      <c r="E765" s="44"/>
      <c r="F765" s="83"/>
      <c r="G765" s="82"/>
      <c r="H765" s="44"/>
      <c r="I765" s="83"/>
      <c r="J765" s="1538"/>
      <c r="K765" s="1544"/>
      <c r="L765" s="1540"/>
      <c r="M765" s="1545"/>
      <c r="N765" s="1546"/>
      <c r="O765" s="1546"/>
      <c r="P765" s="1540"/>
      <c r="Q765" s="1547"/>
      <c r="R765" s="1548"/>
      <c r="S765" s="969"/>
      <c r="T765" s="888"/>
      <c r="U765" s="181"/>
      <c r="V765" s="870">
        <f t="shared" si="90"/>
        <v>0</v>
      </c>
      <c r="W765" s="938"/>
      <c r="X765" s="938"/>
      <c r="Y765" s="513"/>
      <c r="Z765" s="514"/>
    </row>
    <row r="766" spans="1:36" s="8" customFormat="1" ht="15">
      <c r="A766" s="516"/>
      <c r="B766" s="59"/>
      <c r="C766" s="60"/>
      <c r="D766" s="82"/>
      <c r="E766" s="44"/>
      <c r="F766" s="83"/>
      <c r="G766" s="43"/>
      <c r="H766" s="44"/>
      <c r="I766" s="45"/>
      <c r="J766" s="46"/>
      <c r="K766" s="47"/>
      <c r="L766" s="48"/>
      <c r="M766" s="49"/>
      <c r="N766" s="50"/>
      <c r="O766" s="50"/>
      <c r="P766" s="48"/>
      <c r="Q766" s="53"/>
      <c r="R766" s="517"/>
      <c r="S766" s="54"/>
      <c r="T766" s="518"/>
      <c r="U766" s="71"/>
      <c r="V766" s="870">
        <f>V767</f>
        <v>0</v>
      </c>
      <c r="AB766" s="15"/>
    </row>
    <row r="767" spans="1:36" s="8" customFormat="1" ht="15.75" customHeight="1">
      <c r="A767" s="516"/>
      <c r="B767" s="877"/>
      <c r="C767" s="113"/>
      <c r="D767" s="2436" t="s">
        <v>18</v>
      </c>
      <c r="E767" s="2437"/>
      <c r="F767" s="2437"/>
      <c r="G767" s="2437"/>
      <c r="H767" s="2437"/>
      <c r="I767" s="2438"/>
      <c r="J767" s="2439">
        <f>VLOOKUP(A769,'12 - FINANCEIRA'!_xlnm.Print_Area,6,FALSE)</f>
        <v>47</v>
      </c>
      <c r="K767" s="2440"/>
      <c r="L767" s="519" t="str">
        <f>VLOOKUP(A769,'12 - FINANCEIRA'!_xlnm.Print_Area,4,FALSE)</f>
        <v>und</v>
      </c>
      <c r="M767" s="2441" t="s">
        <v>19</v>
      </c>
      <c r="N767" s="2442"/>
      <c r="O767" s="2442"/>
      <c r="P767" s="2442"/>
      <c r="Q767" s="2443"/>
      <c r="R767" s="878">
        <f>SUM(R762:R766)</f>
        <v>47</v>
      </c>
      <c r="S767" s="520" t="str">
        <f>L767</f>
        <v>und</v>
      </c>
      <c r="T767" s="680"/>
      <c r="U767" s="663"/>
      <c r="V767" s="870">
        <f>V768</f>
        <v>0</v>
      </c>
      <c r="AB767" s="15"/>
    </row>
    <row r="768" spans="1:36" s="8" customFormat="1" ht="15.75" customHeight="1">
      <c r="A768" s="516"/>
      <c r="B768" s="877"/>
      <c r="C768" s="681"/>
      <c r="D768" s="2444" t="s">
        <v>20</v>
      </c>
      <c r="E768" s="2445"/>
      <c r="F768" s="2445"/>
      <c r="G768" s="2445"/>
      <c r="H768" s="2445"/>
      <c r="I768" s="2446"/>
      <c r="J768" s="2450">
        <f>R767/J767</f>
        <v>1</v>
      </c>
      <c r="K768" s="2451"/>
      <c r="L768" s="2454"/>
      <c r="M768" s="2441" t="s">
        <v>21</v>
      </c>
      <c r="N768" s="2442"/>
      <c r="O768" s="2442"/>
      <c r="P768" s="2442"/>
      <c r="Q768" s="2443"/>
      <c r="R768" s="878">
        <f>VLOOKUP(A769,'12 - FINANCEIRA'!_xlnm.Print_Area,8,FALSE)</f>
        <v>0</v>
      </c>
      <c r="S768" s="879" t="str">
        <f>L767</f>
        <v>und</v>
      </c>
      <c r="T768" s="680"/>
      <c r="U768" s="663"/>
      <c r="V768" s="870">
        <f>R768</f>
        <v>0</v>
      </c>
      <c r="AB768" s="15"/>
    </row>
    <row r="769" spans="1:36" s="8" customFormat="1" ht="15.75" customHeight="1">
      <c r="A769" s="516" t="s">
        <v>965</v>
      </c>
      <c r="B769" s="877"/>
      <c r="C769" s="113"/>
      <c r="D769" s="2475"/>
      <c r="E769" s="2460"/>
      <c r="F769" s="2460"/>
      <c r="G769" s="2460"/>
      <c r="H769" s="2460"/>
      <c r="I769" s="2476"/>
      <c r="J769" s="2477"/>
      <c r="K769" s="2478"/>
      <c r="L769" s="2470"/>
      <c r="M769" s="2441" t="s">
        <v>22</v>
      </c>
      <c r="N769" s="2442"/>
      <c r="O769" s="2442"/>
      <c r="P769" s="2442"/>
      <c r="Q769" s="2443"/>
      <c r="R769" s="521">
        <f>R767-R768</f>
        <v>47</v>
      </c>
      <c r="S769" s="522" t="str">
        <f>L767</f>
        <v>und</v>
      </c>
      <c r="T769" s="680"/>
      <c r="U769" s="663"/>
      <c r="V769" s="871">
        <f>SUM(V760:V768)</f>
        <v>0</v>
      </c>
      <c r="AB769" s="15"/>
    </row>
    <row r="770" spans="1:36" s="8" customFormat="1" ht="15.75">
      <c r="A770" s="516"/>
      <c r="B770" s="523"/>
      <c r="C770" s="524"/>
      <c r="D770" s="526"/>
      <c r="E770" s="526"/>
      <c r="F770" s="526"/>
      <c r="G770" s="525"/>
      <c r="H770" s="525"/>
      <c r="I770" s="525"/>
      <c r="J770" s="527"/>
      <c r="K770" s="528"/>
      <c r="L770" s="529"/>
      <c r="M770" s="530"/>
      <c r="N770" s="530"/>
      <c r="O770" s="530"/>
      <c r="P770" s="530"/>
      <c r="Q770" s="530"/>
      <c r="R770" s="531"/>
      <c r="S770" s="532"/>
      <c r="T770" s="533"/>
      <c r="U770" s="534"/>
      <c r="V770" s="871">
        <f>SUM(V760:V769)</f>
        <v>0</v>
      </c>
      <c r="AB770" s="15"/>
    </row>
    <row r="771" spans="1:36" s="497" customFormat="1" ht="15.75" customHeight="1">
      <c r="A771" s="495"/>
      <c r="B771" s="2423" t="str">
        <f>VLOOKUP(A779,'12 - FINANCEIRA'!_xlnm.Print_Area,1,FALSE)</f>
        <v>3.2.9</v>
      </c>
      <c r="C771" s="2421" t="str">
        <f>VLOOKUP(A779,'12 - FINANCEIRA'!_xlnm.Print_Area,3,FALSE)</f>
        <v>Rede Água PVC PBA 15 Dn 50 s/Pav</v>
      </c>
      <c r="D771" s="2479" t="s">
        <v>97</v>
      </c>
      <c r="E771" s="2480"/>
      <c r="F771" s="2480"/>
      <c r="G771" s="2480"/>
      <c r="H771" s="2480"/>
      <c r="I771" s="2481"/>
      <c r="J771" s="2416" t="s">
        <v>98</v>
      </c>
      <c r="K771" s="2416" t="s">
        <v>102</v>
      </c>
      <c r="L771" s="2416" t="s">
        <v>103</v>
      </c>
      <c r="M771" s="2416" t="s">
        <v>228</v>
      </c>
      <c r="N771" s="2416" t="s">
        <v>229</v>
      </c>
      <c r="O771" s="2416" t="s">
        <v>107</v>
      </c>
      <c r="P771" s="496" t="s">
        <v>153</v>
      </c>
      <c r="Q771" s="2425" t="s">
        <v>2</v>
      </c>
      <c r="R771" s="2425" t="s">
        <v>2</v>
      </c>
      <c r="S771" s="2416" t="s">
        <v>99</v>
      </c>
      <c r="T771" s="2416" t="s">
        <v>17</v>
      </c>
      <c r="U771" s="2428" t="s">
        <v>362</v>
      </c>
      <c r="V771" s="1314">
        <f>V772</f>
        <v>36</v>
      </c>
      <c r="W771" s="26"/>
      <c r="X771" s="26"/>
      <c r="Y771" s="26"/>
      <c r="Z771" s="27"/>
      <c r="AA771" s="9"/>
      <c r="AB771" s="9"/>
      <c r="AC771" s="9"/>
      <c r="AD771" s="9"/>
      <c r="AE771" s="9"/>
      <c r="AF771" s="9"/>
      <c r="AG771" s="9"/>
      <c r="AH771" s="9"/>
      <c r="AI771" s="9"/>
      <c r="AJ771" s="9"/>
    </row>
    <row r="772" spans="1:36" s="497" customFormat="1" ht="15.75">
      <c r="A772" s="495"/>
      <c r="B772" s="2424" t="e">
        <f>LEFT(#REF!,5)</f>
        <v>#REF!</v>
      </c>
      <c r="C772" s="2422" t="e">
        <f>VLOOKUP(LEFT(#REF!,5),'12 - FINANCEIRA'!_xlnm.Print_Area,2,FALSE)</f>
        <v>#REF!</v>
      </c>
      <c r="D772" s="2430" t="s">
        <v>14</v>
      </c>
      <c r="E772" s="2431"/>
      <c r="F772" s="2432"/>
      <c r="G772" s="2433" t="s">
        <v>15</v>
      </c>
      <c r="H772" s="2434"/>
      <c r="I772" s="2435"/>
      <c r="J772" s="2417"/>
      <c r="K772" s="2417"/>
      <c r="L772" s="2417"/>
      <c r="M772" s="2417"/>
      <c r="N772" s="2417"/>
      <c r="O772" s="2417"/>
      <c r="P772" s="498" t="s">
        <v>104</v>
      </c>
      <c r="Q772" s="2473"/>
      <c r="R772" s="2473"/>
      <c r="S772" s="2417"/>
      <c r="T772" s="2417"/>
      <c r="U772" s="2474"/>
      <c r="V772" s="1314">
        <f>V773</f>
        <v>36</v>
      </c>
      <c r="W772" s="26"/>
      <c r="X772" s="26"/>
      <c r="Y772" s="26"/>
      <c r="Z772" s="27"/>
      <c r="AA772" s="9"/>
      <c r="AB772" s="9"/>
      <c r="AC772" s="9"/>
      <c r="AD772" s="9"/>
      <c r="AE772" s="9"/>
      <c r="AF772" s="9"/>
      <c r="AG772" s="9"/>
      <c r="AH772" s="9"/>
      <c r="AI772" s="9"/>
      <c r="AJ772" s="9"/>
    </row>
    <row r="773" spans="1:36" s="9" customFormat="1" ht="15">
      <c r="A773" s="944"/>
      <c r="B773" s="922"/>
      <c r="C773" s="76" t="s">
        <v>1050</v>
      </c>
      <c r="D773" s="962">
        <v>0</v>
      </c>
      <c r="E773" s="1737" t="s">
        <v>68</v>
      </c>
      <c r="F773" s="964">
        <v>0</v>
      </c>
      <c r="G773" s="962">
        <v>0</v>
      </c>
      <c r="H773" s="1737" t="s">
        <v>68</v>
      </c>
      <c r="I773" s="964">
        <v>6</v>
      </c>
      <c r="J773" s="1538" t="s">
        <v>70</v>
      </c>
      <c r="K773" s="1638">
        <f t="shared" ref="K773:K776" si="91">20*(G773-D773)+I773-F773</f>
        <v>6</v>
      </c>
      <c r="L773" s="1639"/>
      <c r="M773" s="1359"/>
      <c r="N773" s="1640"/>
      <c r="O773" s="1641"/>
      <c r="P773" s="1639"/>
      <c r="Q773" s="1538"/>
      <c r="R773" s="1642">
        <f>K773</f>
        <v>6</v>
      </c>
      <c r="S773" s="215" t="s">
        <v>8</v>
      </c>
      <c r="T773" s="1632" t="s">
        <v>90</v>
      </c>
      <c r="U773" s="76"/>
      <c r="V773" s="1314">
        <f>V774</f>
        <v>36</v>
      </c>
      <c r="W773" s="26"/>
      <c r="X773" s="26"/>
      <c r="Y773" s="26"/>
      <c r="Z773" s="27"/>
      <c r="AA773" s="41"/>
      <c r="AB773" s="42"/>
    </row>
    <row r="774" spans="1:36" s="8" customFormat="1" ht="15">
      <c r="A774" s="516"/>
      <c r="B774" s="924"/>
      <c r="C774" s="76" t="s">
        <v>1050</v>
      </c>
      <c r="D774" s="962">
        <v>8</v>
      </c>
      <c r="E774" s="1737" t="s">
        <v>68</v>
      </c>
      <c r="F774" s="964">
        <v>14</v>
      </c>
      <c r="G774" s="962">
        <v>9</v>
      </c>
      <c r="H774" s="1737" t="s">
        <v>68</v>
      </c>
      <c r="I774" s="964">
        <v>0</v>
      </c>
      <c r="J774" s="1538" t="s">
        <v>70</v>
      </c>
      <c r="K774" s="1638">
        <f t="shared" si="91"/>
        <v>6</v>
      </c>
      <c r="L774" s="1639"/>
      <c r="M774" s="1359"/>
      <c r="N774" s="1640"/>
      <c r="O774" s="1641"/>
      <c r="P774" s="1639"/>
      <c r="Q774" s="1538"/>
      <c r="R774" s="1642">
        <f t="shared" ref="R774:R776" si="92">K774</f>
        <v>6</v>
      </c>
      <c r="S774" s="215" t="s">
        <v>8</v>
      </c>
      <c r="T774" s="1367" t="s">
        <v>90</v>
      </c>
      <c r="U774" s="1368"/>
      <c r="V774" s="1314">
        <f>V775</f>
        <v>36</v>
      </c>
      <c r="W774" s="938"/>
      <c r="X774" s="938"/>
      <c r="Y774" s="938"/>
      <c r="Z774" s="939"/>
    </row>
    <row r="775" spans="1:36" s="8" customFormat="1" ht="15">
      <c r="A775" s="516"/>
      <c r="B775" s="924"/>
      <c r="C775" s="76" t="s">
        <v>1050</v>
      </c>
      <c r="D775" s="962">
        <v>11</v>
      </c>
      <c r="E775" s="1737" t="s">
        <v>68</v>
      </c>
      <c r="F775" s="964">
        <v>7</v>
      </c>
      <c r="G775" s="962">
        <v>11</v>
      </c>
      <c r="H775" s="1737" t="s">
        <v>68</v>
      </c>
      <c r="I775" s="964">
        <v>19</v>
      </c>
      <c r="J775" s="1538" t="s">
        <v>70</v>
      </c>
      <c r="K775" s="1542">
        <f t="shared" si="91"/>
        <v>12</v>
      </c>
      <c r="L775" s="1639"/>
      <c r="M775" s="1359"/>
      <c r="N775" s="1640"/>
      <c r="O775" s="1641"/>
      <c r="P775" s="1639"/>
      <c r="Q775" s="1538"/>
      <c r="R775" s="1642">
        <f t="shared" si="92"/>
        <v>12</v>
      </c>
      <c r="S775" s="215" t="s">
        <v>8</v>
      </c>
      <c r="T775" s="1367" t="s">
        <v>90</v>
      </c>
      <c r="U775" s="1368"/>
      <c r="V775" s="1314">
        <f t="shared" ref="V775:V776" si="93">V776</f>
        <v>36</v>
      </c>
      <c r="W775" s="938"/>
      <c r="X775" s="938"/>
      <c r="Y775" s="938"/>
      <c r="Z775" s="939"/>
    </row>
    <row r="776" spans="1:36" s="8" customFormat="1" ht="15">
      <c r="A776" s="516"/>
      <c r="B776" s="59"/>
      <c r="C776" s="967" t="s">
        <v>1051</v>
      </c>
      <c r="D776" s="962">
        <v>106</v>
      </c>
      <c r="E776" s="1737" t="s">
        <v>68</v>
      </c>
      <c r="F776" s="964">
        <v>0</v>
      </c>
      <c r="G776" s="962">
        <v>106</v>
      </c>
      <c r="H776" s="1737" t="s">
        <v>68</v>
      </c>
      <c r="I776" s="964">
        <v>12</v>
      </c>
      <c r="J776" s="1538" t="s">
        <v>70</v>
      </c>
      <c r="K776" s="1542">
        <f t="shared" si="91"/>
        <v>12</v>
      </c>
      <c r="L776" s="1639"/>
      <c r="M776" s="1359"/>
      <c r="N776" s="1640"/>
      <c r="O776" s="1641"/>
      <c r="P776" s="1639"/>
      <c r="Q776" s="1538"/>
      <c r="R776" s="1642">
        <f t="shared" si="92"/>
        <v>12</v>
      </c>
      <c r="S776" s="978" t="s">
        <v>8</v>
      </c>
      <c r="T776" s="960" t="s">
        <v>90</v>
      </c>
      <c r="U776" s="1736"/>
      <c r="V776" s="1314">
        <f t="shared" si="93"/>
        <v>36</v>
      </c>
      <c r="AB776" s="15"/>
    </row>
    <row r="777" spans="1:36" s="8" customFormat="1" ht="15.75" customHeight="1">
      <c r="A777" s="516"/>
      <c r="B777" s="877"/>
      <c r="C777" s="113"/>
      <c r="D777" s="2436" t="s">
        <v>18</v>
      </c>
      <c r="E777" s="2437"/>
      <c r="F777" s="2437"/>
      <c r="G777" s="2437"/>
      <c r="H777" s="2437"/>
      <c r="I777" s="2438"/>
      <c r="J777" s="2439">
        <f>VLOOKUP(A779,'12 - FINANCEIRA'!_xlnm.Print_Area,6,FALSE)</f>
        <v>36</v>
      </c>
      <c r="K777" s="2440"/>
      <c r="L777" s="519" t="str">
        <f>VLOOKUP(A779,'12 - FINANCEIRA'!_xlnm.Print_Area,4,FALSE)</f>
        <v>m</v>
      </c>
      <c r="M777" s="2441" t="s">
        <v>19</v>
      </c>
      <c r="N777" s="2442"/>
      <c r="O777" s="2442"/>
      <c r="P777" s="2442"/>
      <c r="Q777" s="2443"/>
      <c r="R777" s="878">
        <f>SUM(R773:R776)</f>
        <v>36</v>
      </c>
      <c r="S777" s="520" t="str">
        <f>L777</f>
        <v>m</v>
      </c>
      <c r="T777" s="680"/>
      <c r="U777" s="663"/>
      <c r="V777" s="1314">
        <f>V778</f>
        <v>36</v>
      </c>
      <c r="AB777" s="15"/>
    </row>
    <row r="778" spans="1:36" s="8" customFormat="1" ht="15.75" customHeight="1">
      <c r="A778" s="516"/>
      <c r="B778" s="877"/>
      <c r="C778" s="681"/>
      <c r="D778" s="2444" t="s">
        <v>20</v>
      </c>
      <c r="E778" s="2445"/>
      <c r="F778" s="2445"/>
      <c r="G778" s="2445"/>
      <c r="H778" s="2445"/>
      <c r="I778" s="2446"/>
      <c r="J778" s="2450">
        <f>R777/J777</f>
        <v>1</v>
      </c>
      <c r="K778" s="2451"/>
      <c r="L778" s="2454"/>
      <c r="M778" s="2441" t="s">
        <v>21</v>
      </c>
      <c r="N778" s="2442"/>
      <c r="O778" s="2442"/>
      <c r="P778" s="2442"/>
      <c r="Q778" s="2443"/>
      <c r="R778" s="878">
        <f>VLOOKUP(A779,'12 - FINANCEIRA'!_xlnm.Print_Area,8,FALSE)</f>
        <v>0</v>
      </c>
      <c r="S778" s="879" t="str">
        <f>L777</f>
        <v>m</v>
      </c>
      <c r="T778" s="680"/>
      <c r="U778" s="663"/>
      <c r="V778" s="1314">
        <f>V779</f>
        <v>36</v>
      </c>
      <c r="AB778" s="15"/>
    </row>
    <row r="779" spans="1:36" s="8" customFormat="1" ht="15.75" customHeight="1">
      <c r="A779" s="516" t="s">
        <v>966</v>
      </c>
      <c r="B779" s="877"/>
      <c r="C779" s="113"/>
      <c r="D779" s="2475"/>
      <c r="E779" s="2460"/>
      <c r="F779" s="2460"/>
      <c r="G779" s="2460"/>
      <c r="H779" s="2460"/>
      <c r="I779" s="2476"/>
      <c r="J779" s="2477"/>
      <c r="K779" s="2478"/>
      <c r="L779" s="2470"/>
      <c r="M779" s="2441" t="s">
        <v>22</v>
      </c>
      <c r="N779" s="2442"/>
      <c r="O779" s="2442"/>
      <c r="P779" s="2442"/>
      <c r="Q779" s="2443"/>
      <c r="R779" s="521">
        <f>R777-R778</f>
        <v>36</v>
      </c>
      <c r="S779" s="522" t="str">
        <f>L777</f>
        <v>m</v>
      </c>
      <c r="T779" s="680"/>
      <c r="U779" s="663"/>
      <c r="V779" s="1314">
        <f>R779</f>
        <v>36</v>
      </c>
      <c r="AB779" s="15"/>
    </row>
    <row r="780" spans="1:36" s="8" customFormat="1" ht="15.75">
      <c r="A780" s="516"/>
      <c r="B780" s="523"/>
      <c r="C780" s="524"/>
      <c r="D780" s="526"/>
      <c r="E780" s="526"/>
      <c r="F780" s="526"/>
      <c r="G780" s="525"/>
      <c r="H780" s="525"/>
      <c r="I780" s="525"/>
      <c r="J780" s="527"/>
      <c r="K780" s="528"/>
      <c r="L780" s="529"/>
      <c r="M780" s="530"/>
      <c r="N780" s="530"/>
      <c r="O780" s="530"/>
      <c r="P780" s="530"/>
      <c r="Q780" s="530"/>
      <c r="R780" s="531"/>
      <c r="S780" s="532"/>
      <c r="T780" s="533"/>
      <c r="U780" s="534"/>
      <c r="V780" s="1658">
        <f>SUM(V771:V779)</f>
        <v>324</v>
      </c>
      <c r="AB780" s="15"/>
    </row>
    <row r="781" spans="1:36" s="497" customFormat="1" ht="15.75" customHeight="1">
      <c r="A781" s="495"/>
      <c r="B781" s="2423" t="str">
        <f>VLOOKUP(A823,'12 - FINANCEIRA'!_xlnm.Print_Area,1,FALSE)</f>
        <v>3.2.10</v>
      </c>
      <c r="C781" s="2421" t="str">
        <f>VLOOKUP(A823,'12 - FINANCEIRA'!_xlnm.Print_Area,3,FALSE)</f>
        <v>Lig Pred Água DN 20, C/ Colar, s/Pav</v>
      </c>
      <c r="D781" s="2479" t="s">
        <v>97</v>
      </c>
      <c r="E781" s="2480"/>
      <c r="F781" s="2480"/>
      <c r="G781" s="2480"/>
      <c r="H781" s="2480"/>
      <c r="I781" s="2481"/>
      <c r="J781" s="2416" t="s">
        <v>98</v>
      </c>
      <c r="K781" s="2416" t="s">
        <v>102</v>
      </c>
      <c r="L781" s="2416" t="s">
        <v>103</v>
      </c>
      <c r="M781" s="2416" t="s">
        <v>228</v>
      </c>
      <c r="N781" s="2416" t="s">
        <v>1107</v>
      </c>
      <c r="O781" s="2416" t="s">
        <v>107</v>
      </c>
      <c r="P781" s="2416" t="s">
        <v>613</v>
      </c>
      <c r="Q781" s="2416" t="s">
        <v>16</v>
      </c>
      <c r="R781" s="2425" t="s">
        <v>2</v>
      </c>
      <c r="S781" s="2416" t="s">
        <v>99</v>
      </c>
      <c r="T781" s="2416" t="s">
        <v>17</v>
      </c>
      <c r="U781" s="2428" t="s">
        <v>362</v>
      </c>
      <c r="V781" s="1314">
        <f t="shared" ref="V781:V817" si="94">V782</f>
        <v>38</v>
      </c>
      <c r="W781" s="26"/>
      <c r="X781" s="26"/>
      <c r="Y781" s="26"/>
      <c r="Z781" s="27"/>
      <c r="AA781" s="9"/>
      <c r="AB781" s="9"/>
      <c r="AC781" s="9"/>
      <c r="AD781" s="9"/>
      <c r="AE781" s="9"/>
      <c r="AF781" s="9"/>
      <c r="AG781" s="9"/>
      <c r="AH781" s="9"/>
      <c r="AI781" s="9"/>
      <c r="AJ781" s="9"/>
    </row>
    <row r="782" spans="1:36" s="497" customFormat="1" ht="15.75">
      <c r="A782" s="495"/>
      <c r="B782" s="2424" t="e">
        <f>LEFT(#REF!,5)</f>
        <v>#REF!</v>
      </c>
      <c r="C782" s="2422" t="e">
        <f>VLOOKUP(LEFT(#REF!,5),'12 - FINANCEIRA'!_xlnm.Print_Area,2,FALSE)</f>
        <v>#REF!</v>
      </c>
      <c r="D782" s="2430" t="s">
        <v>14</v>
      </c>
      <c r="E782" s="2431"/>
      <c r="F782" s="2432"/>
      <c r="G782" s="2433" t="s">
        <v>15</v>
      </c>
      <c r="H782" s="2434"/>
      <c r="I782" s="2435"/>
      <c r="J782" s="2417"/>
      <c r="K782" s="2417"/>
      <c r="L782" s="2417"/>
      <c r="M782" s="2417"/>
      <c r="N782" s="2417"/>
      <c r="O782" s="2417"/>
      <c r="P782" s="2417"/>
      <c r="Q782" s="2417"/>
      <c r="R782" s="2473"/>
      <c r="S782" s="2417"/>
      <c r="T782" s="2417"/>
      <c r="U782" s="2474"/>
      <c r="V782" s="1314">
        <f t="shared" si="94"/>
        <v>38</v>
      </c>
      <c r="W782" s="26"/>
      <c r="X782" s="26"/>
      <c r="Y782" s="26"/>
      <c r="Z782" s="27"/>
      <c r="AA782" s="9"/>
      <c r="AB782" s="9"/>
      <c r="AC782" s="9"/>
      <c r="AD782" s="9"/>
      <c r="AE782" s="9"/>
      <c r="AF782" s="9"/>
      <c r="AG782" s="9"/>
      <c r="AH782" s="9"/>
      <c r="AI782" s="9"/>
      <c r="AJ782" s="9"/>
    </row>
    <row r="783" spans="1:36" s="9" customFormat="1" ht="15">
      <c r="A783" s="944"/>
      <c r="B783" s="933"/>
      <c r="C783" s="1420" t="s">
        <v>1048</v>
      </c>
      <c r="D783" s="1738">
        <v>0</v>
      </c>
      <c r="E783" s="1739" t="s">
        <v>68</v>
      </c>
      <c r="F783" s="1740">
        <v>17</v>
      </c>
      <c r="G783" s="1738"/>
      <c r="H783" s="1739"/>
      <c r="I783" s="1740"/>
      <c r="J783" s="1421"/>
      <c r="K783" s="1423"/>
      <c r="L783" s="1423"/>
      <c r="M783" s="1424"/>
      <c r="N783" s="1425"/>
      <c r="O783" s="1645"/>
      <c r="P783" s="1423"/>
      <c r="Q783" s="1646"/>
      <c r="R783" s="1731">
        <v>1</v>
      </c>
      <c r="S783" s="1647" t="s">
        <v>101</v>
      </c>
      <c r="T783" s="1632" t="s">
        <v>90</v>
      </c>
      <c r="U783" s="1741"/>
      <c r="V783" s="1314">
        <f t="shared" si="94"/>
        <v>38</v>
      </c>
      <c r="W783" s="26"/>
      <c r="X783" s="26"/>
      <c r="Y783" s="26"/>
      <c r="Z783" s="27"/>
      <c r="AA783" s="41"/>
      <c r="AB783" s="42"/>
    </row>
    <row r="784" spans="1:36" s="9" customFormat="1" ht="15">
      <c r="A784" s="944"/>
      <c r="B784" s="1320"/>
      <c r="C784" s="981" t="s">
        <v>1048</v>
      </c>
      <c r="D784" s="1048">
        <v>0</v>
      </c>
      <c r="E784" s="1049" t="s">
        <v>68</v>
      </c>
      <c r="F784" s="1050">
        <v>18</v>
      </c>
      <c r="G784" s="1048"/>
      <c r="H784" s="1049"/>
      <c r="I784" s="1050"/>
      <c r="J784" s="1051"/>
      <c r="K784" s="982"/>
      <c r="L784" s="982"/>
      <c r="M784" s="983"/>
      <c r="N784" s="1052"/>
      <c r="O784" s="984"/>
      <c r="P784" s="982"/>
      <c r="Q784" s="1041"/>
      <c r="R784" s="1554">
        <v>1</v>
      </c>
      <c r="S784" s="1054" t="s">
        <v>101</v>
      </c>
      <c r="T784" s="986" t="s">
        <v>90</v>
      </c>
      <c r="U784" s="1694"/>
      <c r="V784" s="1314">
        <f t="shared" si="94"/>
        <v>38</v>
      </c>
      <c r="W784" s="26"/>
      <c r="X784" s="26"/>
      <c r="Y784" s="26"/>
      <c r="Z784" s="27"/>
      <c r="AA784" s="41"/>
      <c r="AB784" s="42"/>
    </row>
    <row r="785" spans="1:28" s="9" customFormat="1" ht="15">
      <c r="A785" s="944"/>
      <c r="B785" s="1320"/>
      <c r="C785" s="981" t="s">
        <v>1048</v>
      </c>
      <c r="D785" s="1048">
        <v>1</v>
      </c>
      <c r="E785" s="1049" t="s">
        <v>68</v>
      </c>
      <c r="F785" s="1050">
        <v>19</v>
      </c>
      <c r="G785" s="1048"/>
      <c r="H785" s="1049"/>
      <c r="I785" s="1050"/>
      <c r="J785" s="1051"/>
      <c r="K785" s="982"/>
      <c r="L785" s="982"/>
      <c r="M785" s="983"/>
      <c r="N785" s="1052"/>
      <c r="O785" s="984"/>
      <c r="P785" s="982"/>
      <c r="Q785" s="1041"/>
      <c r="R785" s="1554">
        <v>1</v>
      </c>
      <c r="S785" s="1054" t="s">
        <v>101</v>
      </c>
      <c r="T785" s="986" t="s">
        <v>90</v>
      </c>
      <c r="U785" s="1694"/>
      <c r="V785" s="1314">
        <f t="shared" si="94"/>
        <v>38</v>
      </c>
      <c r="W785" s="26"/>
      <c r="X785" s="26"/>
      <c r="Y785" s="26"/>
      <c r="Z785" s="27"/>
      <c r="AA785" s="41"/>
      <c r="AB785" s="42"/>
    </row>
    <row r="786" spans="1:28" s="9" customFormat="1" ht="15">
      <c r="A786" s="944"/>
      <c r="B786" s="1320"/>
      <c r="C786" s="981" t="s">
        <v>1048</v>
      </c>
      <c r="D786" s="1048">
        <v>2</v>
      </c>
      <c r="E786" s="1049" t="s">
        <v>68</v>
      </c>
      <c r="F786" s="1050">
        <v>12</v>
      </c>
      <c r="G786" s="1048"/>
      <c r="H786" s="1049"/>
      <c r="I786" s="1050"/>
      <c r="J786" s="1051"/>
      <c r="K786" s="982"/>
      <c r="L786" s="982"/>
      <c r="M786" s="983"/>
      <c r="N786" s="1052"/>
      <c r="O786" s="984"/>
      <c r="P786" s="982"/>
      <c r="Q786" s="1041"/>
      <c r="R786" s="1554">
        <v>1</v>
      </c>
      <c r="S786" s="1054" t="s">
        <v>101</v>
      </c>
      <c r="T786" s="986" t="s">
        <v>90</v>
      </c>
      <c r="U786" s="1694"/>
      <c r="V786" s="1314">
        <f t="shared" si="94"/>
        <v>38</v>
      </c>
      <c r="W786" s="26"/>
      <c r="X786" s="26"/>
      <c r="Y786" s="26"/>
      <c r="Z786" s="27"/>
      <c r="AA786" s="41"/>
      <c r="AB786" s="42"/>
    </row>
    <row r="787" spans="1:28" s="9" customFormat="1" ht="15">
      <c r="A787" s="944"/>
      <c r="B787" s="1320"/>
      <c r="C787" s="981" t="s">
        <v>1048</v>
      </c>
      <c r="D787" s="1048">
        <v>2</v>
      </c>
      <c r="E787" s="1049" t="s">
        <v>68</v>
      </c>
      <c r="F787" s="1050">
        <v>16</v>
      </c>
      <c r="G787" s="1048"/>
      <c r="H787" s="1049"/>
      <c r="I787" s="1050"/>
      <c r="J787" s="1051"/>
      <c r="K787" s="982"/>
      <c r="L787" s="982"/>
      <c r="M787" s="983"/>
      <c r="N787" s="1052"/>
      <c r="O787" s="984"/>
      <c r="P787" s="982"/>
      <c r="Q787" s="1041"/>
      <c r="R787" s="1554">
        <v>1</v>
      </c>
      <c r="S787" s="1054" t="s">
        <v>101</v>
      </c>
      <c r="T787" s="986" t="s">
        <v>90</v>
      </c>
      <c r="U787" s="1694"/>
      <c r="V787" s="1314">
        <f t="shared" si="94"/>
        <v>38</v>
      </c>
      <c r="W787" s="26"/>
      <c r="X787" s="26"/>
      <c r="Y787" s="26"/>
      <c r="Z787" s="27"/>
      <c r="AA787" s="41"/>
      <c r="AB787" s="42"/>
    </row>
    <row r="788" spans="1:28" s="9" customFormat="1" ht="15">
      <c r="A788" s="944"/>
      <c r="B788" s="1320"/>
      <c r="C788" s="981" t="s">
        <v>1048</v>
      </c>
      <c r="D788" s="1048">
        <v>3</v>
      </c>
      <c r="E788" s="1049" t="s">
        <v>68</v>
      </c>
      <c r="F788" s="1050">
        <v>18</v>
      </c>
      <c r="G788" s="1048"/>
      <c r="H788" s="1049"/>
      <c r="I788" s="1050"/>
      <c r="J788" s="1051"/>
      <c r="K788" s="982"/>
      <c r="L788" s="982"/>
      <c r="M788" s="983"/>
      <c r="N788" s="1052"/>
      <c r="O788" s="984"/>
      <c r="P788" s="982"/>
      <c r="Q788" s="1041"/>
      <c r="R788" s="1554">
        <v>1</v>
      </c>
      <c r="S788" s="1054" t="s">
        <v>101</v>
      </c>
      <c r="T788" s="986" t="s">
        <v>90</v>
      </c>
      <c r="U788" s="1694"/>
      <c r="V788" s="1314">
        <f t="shared" si="94"/>
        <v>38</v>
      </c>
      <c r="W788" s="26"/>
      <c r="X788" s="26"/>
      <c r="Y788" s="26"/>
      <c r="Z788" s="27"/>
      <c r="AA788" s="41"/>
      <c r="AB788" s="42"/>
    </row>
    <row r="789" spans="1:28" s="9" customFormat="1" ht="15">
      <c r="A789" s="944"/>
      <c r="B789" s="1320"/>
      <c r="C789" s="981" t="s">
        <v>1048</v>
      </c>
      <c r="D789" s="1048">
        <v>4</v>
      </c>
      <c r="E789" s="1049" t="s">
        <v>68</v>
      </c>
      <c r="F789" s="1050">
        <v>1</v>
      </c>
      <c r="G789" s="1048"/>
      <c r="H789" s="1049"/>
      <c r="I789" s="1050"/>
      <c r="J789" s="1051"/>
      <c r="K789" s="982"/>
      <c r="L789" s="982"/>
      <c r="M789" s="983"/>
      <c r="N789" s="1052"/>
      <c r="O789" s="984"/>
      <c r="P789" s="982"/>
      <c r="Q789" s="1041"/>
      <c r="R789" s="1554">
        <v>1</v>
      </c>
      <c r="S789" s="1054" t="s">
        <v>101</v>
      </c>
      <c r="T789" s="986" t="s">
        <v>90</v>
      </c>
      <c r="U789" s="1694"/>
      <c r="V789" s="1314">
        <f t="shared" si="94"/>
        <v>38</v>
      </c>
      <c r="W789" s="26"/>
      <c r="X789" s="26"/>
      <c r="Y789" s="26"/>
      <c r="Z789" s="27"/>
      <c r="AA789" s="41"/>
      <c r="AB789" s="42"/>
    </row>
    <row r="790" spans="1:28" s="9" customFormat="1" ht="15">
      <c r="A790" s="944"/>
      <c r="B790" s="1320"/>
      <c r="C790" s="981" t="s">
        <v>1048</v>
      </c>
      <c r="D790" s="1048">
        <v>4</v>
      </c>
      <c r="E790" s="1049" t="s">
        <v>68</v>
      </c>
      <c r="F790" s="1050">
        <v>3</v>
      </c>
      <c r="G790" s="1048"/>
      <c r="H790" s="1049"/>
      <c r="I790" s="1050"/>
      <c r="J790" s="1051"/>
      <c r="K790" s="982"/>
      <c r="L790" s="982"/>
      <c r="M790" s="983"/>
      <c r="N790" s="1052"/>
      <c r="O790" s="984"/>
      <c r="P790" s="982"/>
      <c r="Q790" s="1041"/>
      <c r="R790" s="1554">
        <v>1</v>
      </c>
      <c r="S790" s="1054" t="s">
        <v>101</v>
      </c>
      <c r="T790" s="986" t="s">
        <v>90</v>
      </c>
      <c r="U790" s="1694"/>
      <c r="V790" s="1314">
        <f t="shared" si="94"/>
        <v>38</v>
      </c>
      <c r="W790" s="26"/>
      <c r="X790" s="26"/>
      <c r="Y790" s="26"/>
      <c r="Z790" s="27"/>
      <c r="AA790" s="41"/>
      <c r="AB790" s="42"/>
    </row>
    <row r="791" spans="1:28" s="9" customFormat="1" ht="15">
      <c r="A791" s="944"/>
      <c r="B791" s="1320"/>
      <c r="C791" s="981" t="s">
        <v>1048</v>
      </c>
      <c r="D791" s="1048">
        <v>4</v>
      </c>
      <c r="E791" s="1049" t="s">
        <v>68</v>
      </c>
      <c r="F791" s="1050">
        <v>13</v>
      </c>
      <c r="G791" s="1048"/>
      <c r="H791" s="1049"/>
      <c r="I791" s="1050"/>
      <c r="J791" s="1051"/>
      <c r="K791" s="982"/>
      <c r="L791" s="982"/>
      <c r="M791" s="983"/>
      <c r="N791" s="1052"/>
      <c r="O791" s="984"/>
      <c r="P791" s="982"/>
      <c r="Q791" s="1041"/>
      <c r="R791" s="1554">
        <v>1</v>
      </c>
      <c r="S791" s="1054" t="s">
        <v>101</v>
      </c>
      <c r="T791" s="986" t="s">
        <v>90</v>
      </c>
      <c r="U791" s="1694"/>
      <c r="V791" s="1314">
        <f t="shared" si="94"/>
        <v>38</v>
      </c>
      <c r="W791" s="26"/>
      <c r="X791" s="26"/>
      <c r="Y791" s="26"/>
      <c r="Z791" s="27"/>
      <c r="AA791" s="41"/>
      <c r="AB791" s="42"/>
    </row>
    <row r="792" spans="1:28" s="9" customFormat="1" ht="15">
      <c r="A792" s="944"/>
      <c r="B792" s="1320"/>
      <c r="C792" s="981" t="s">
        <v>1048</v>
      </c>
      <c r="D792" s="1048">
        <v>5</v>
      </c>
      <c r="E792" s="1049" t="s">
        <v>68</v>
      </c>
      <c r="F792" s="1050">
        <v>7</v>
      </c>
      <c r="G792" s="1048"/>
      <c r="H792" s="1049"/>
      <c r="I792" s="1050"/>
      <c r="J792" s="1051"/>
      <c r="K792" s="982"/>
      <c r="L792" s="982"/>
      <c r="M792" s="983"/>
      <c r="N792" s="1052"/>
      <c r="O792" s="984"/>
      <c r="P792" s="982"/>
      <c r="Q792" s="1041"/>
      <c r="R792" s="1554">
        <v>1</v>
      </c>
      <c r="S792" s="1054" t="s">
        <v>101</v>
      </c>
      <c r="T792" s="986" t="s">
        <v>90</v>
      </c>
      <c r="U792" s="1694"/>
      <c r="V792" s="1314">
        <f t="shared" si="94"/>
        <v>38</v>
      </c>
      <c r="W792" s="26"/>
      <c r="X792" s="26"/>
      <c r="Y792" s="26"/>
      <c r="Z792" s="27"/>
      <c r="AA792" s="41"/>
      <c r="AB792" s="42"/>
    </row>
    <row r="793" spans="1:28" s="9" customFormat="1" ht="15">
      <c r="A793" s="944"/>
      <c r="B793" s="1320"/>
      <c r="C793" s="981" t="s">
        <v>1048</v>
      </c>
      <c r="D793" s="1048">
        <v>5</v>
      </c>
      <c r="E793" s="1049" t="s">
        <v>68</v>
      </c>
      <c r="F793" s="1050">
        <v>14</v>
      </c>
      <c r="G793" s="1048"/>
      <c r="H793" s="1049"/>
      <c r="I793" s="1050"/>
      <c r="J793" s="1051"/>
      <c r="K793" s="982"/>
      <c r="L793" s="982"/>
      <c r="M793" s="983"/>
      <c r="N793" s="1052"/>
      <c r="O793" s="984"/>
      <c r="P793" s="982"/>
      <c r="Q793" s="1041"/>
      <c r="R793" s="1554">
        <v>1</v>
      </c>
      <c r="S793" s="1054" t="s">
        <v>101</v>
      </c>
      <c r="T793" s="986" t="s">
        <v>90</v>
      </c>
      <c r="U793" s="1694"/>
      <c r="V793" s="1314">
        <f t="shared" si="94"/>
        <v>38</v>
      </c>
      <c r="W793" s="26"/>
      <c r="X793" s="26"/>
      <c r="Y793" s="26"/>
      <c r="Z793" s="27"/>
      <c r="AA793" s="41"/>
      <c r="AB793" s="42"/>
    </row>
    <row r="794" spans="1:28" s="9" customFormat="1" ht="15">
      <c r="A794" s="944"/>
      <c r="B794" s="1320"/>
      <c r="C794" s="981" t="s">
        <v>1048</v>
      </c>
      <c r="D794" s="1048">
        <v>7</v>
      </c>
      <c r="E794" s="1049" t="s">
        <v>68</v>
      </c>
      <c r="F794" s="1050">
        <v>0</v>
      </c>
      <c r="G794" s="1048"/>
      <c r="H794" s="1049"/>
      <c r="I794" s="1050"/>
      <c r="J794" s="1051"/>
      <c r="K794" s="982"/>
      <c r="L794" s="982"/>
      <c r="M794" s="983"/>
      <c r="N794" s="1052"/>
      <c r="O794" s="984"/>
      <c r="P794" s="982"/>
      <c r="Q794" s="1041"/>
      <c r="R794" s="1554">
        <v>1</v>
      </c>
      <c r="S794" s="1054" t="s">
        <v>101</v>
      </c>
      <c r="T794" s="986" t="s">
        <v>90</v>
      </c>
      <c r="U794" s="1694"/>
      <c r="V794" s="1314">
        <f t="shared" si="94"/>
        <v>38</v>
      </c>
      <c r="W794" s="26"/>
      <c r="X794" s="26"/>
      <c r="Y794" s="26"/>
      <c r="Z794" s="27"/>
      <c r="AA794" s="41"/>
      <c r="AB794" s="42"/>
    </row>
    <row r="795" spans="1:28" s="9" customFormat="1" ht="15">
      <c r="A795" s="944"/>
      <c r="B795" s="1320"/>
      <c r="C795" s="981" t="s">
        <v>1048</v>
      </c>
      <c r="D795" s="1048">
        <v>7</v>
      </c>
      <c r="E795" s="1049" t="s">
        <v>68</v>
      </c>
      <c r="F795" s="1050">
        <v>10</v>
      </c>
      <c r="G795" s="1048"/>
      <c r="H795" s="1049"/>
      <c r="I795" s="1050"/>
      <c r="J795" s="1051"/>
      <c r="K795" s="982"/>
      <c r="L795" s="982"/>
      <c r="M795" s="983"/>
      <c r="N795" s="1052"/>
      <c r="O795" s="984"/>
      <c r="P795" s="982"/>
      <c r="Q795" s="1041"/>
      <c r="R795" s="1554">
        <v>1</v>
      </c>
      <c r="S795" s="1054" t="s">
        <v>101</v>
      </c>
      <c r="T795" s="986" t="s">
        <v>90</v>
      </c>
      <c r="U795" s="1694"/>
      <c r="V795" s="1314">
        <f t="shared" si="94"/>
        <v>38</v>
      </c>
      <c r="W795" s="26"/>
      <c r="X795" s="26"/>
      <c r="Y795" s="26"/>
      <c r="Z795" s="27"/>
      <c r="AA795" s="41"/>
      <c r="AB795" s="42"/>
    </row>
    <row r="796" spans="1:28" s="9" customFormat="1" ht="15">
      <c r="A796" s="944"/>
      <c r="B796" s="1320"/>
      <c r="C796" s="981" t="s">
        <v>1048</v>
      </c>
      <c r="D796" s="1048">
        <v>7</v>
      </c>
      <c r="E796" s="1049" t="s">
        <v>68</v>
      </c>
      <c r="F796" s="1050">
        <v>16</v>
      </c>
      <c r="G796" s="1048"/>
      <c r="H796" s="1049"/>
      <c r="I796" s="1050"/>
      <c r="J796" s="1051"/>
      <c r="K796" s="982"/>
      <c r="L796" s="982"/>
      <c r="M796" s="983"/>
      <c r="N796" s="1052"/>
      <c r="O796" s="984"/>
      <c r="P796" s="982"/>
      <c r="Q796" s="1041"/>
      <c r="R796" s="1554">
        <v>1</v>
      </c>
      <c r="S796" s="1054" t="s">
        <v>101</v>
      </c>
      <c r="T796" s="986" t="s">
        <v>90</v>
      </c>
      <c r="U796" s="1694"/>
      <c r="V796" s="1314">
        <f t="shared" si="94"/>
        <v>38</v>
      </c>
      <c r="W796" s="26"/>
      <c r="X796" s="26"/>
      <c r="Y796" s="26"/>
      <c r="Z796" s="27"/>
      <c r="AA796" s="41"/>
      <c r="AB796" s="42"/>
    </row>
    <row r="797" spans="1:28" s="9" customFormat="1" ht="15">
      <c r="A797" s="944"/>
      <c r="B797" s="1320"/>
      <c r="C797" s="981" t="s">
        <v>1048</v>
      </c>
      <c r="D797" s="1048">
        <v>8</v>
      </c>
      <c r="E797" s="1049" t="s">
        <v>68</v>
      </c>
      <c r="F797" s="1050">
        <v>2</v>
      </c>
      <c r="G797" s="1048"/>
      <c r="H797" s="1049"/>
      <c r="I797" s="1050"/>
      <c r="J797" s="1051"/>
      <c r="K797" s="982"/>
      <c r="L797" s="982"/>
      <c r="M797" s="983"/>
      <c r="N797" s="1052"/>
      <c r="O797" s="984"/>
      <c r="P797" s="982"/>
      <c r="Q797" s="1041"/>
      <c r="R797" s="1554">
        <v>1</v>
      </c>
      <c r="S797" s="1054" t="s">
        <v>101</v>
      </c>
      <c r="T797" s="986" t="s">
        <v>90</v>
      </c>
      <c r="U797" s="1694"/>
      <c r="V797" s="1314">
        <f t="shared" si="94"/>
        <v>38</v>
      </c>
      <c r="W797" s="26"/>
      <c r="X797" s="26"/>
      <c r="Y797" s="26"/>
      <c r="Z797" s="27"/>
      <c r="AA797" s="41"/>
      <c r="AB797" s="42"/>
    </row>
    <row r="798" spans="1:28" s="9" customFormat="1" ht="15">
      <c r="A798" s="944"/>
      <c r="B798" s="1320"/>
      <c r="C798" s="981" t="s">
        <v>1048</v>
      </c>
      <c r="D798" s="1048">
        <v>8</v>
      </c>
      <c r="E798" s="1049" t="s">
        <v>68</v>
      </c>
      <c r="F798" s="1050">
        <v>10</v>
      </c>
      <c r="G798" s="1048"/>
      <c r="H798" s="1049"/>
      <c r="I798" s="1050"/>
      <c r="J798" s="1051"/>
      <c r="K798" s="982"/>
      <c r="L798" s="982"/>
      <c r="M798" s="983"/>
      <c r="N798" s="1052"/>
      <c r="O798" s="984"/>
      <c r="P798" s="982"/>
      <c r="Q798" s="1041"/>
      <c r="R798" s="1554">
        <v>1</v>
      </c>
      <c r="S798" s="1054" t="s">
        <v>101</v>
      </c>
      <c r="T798" s="986" t="s">
        <v>90</v>
      </c>
      <c r="U798" s="1694"/>
      <c r="V798" s="1314">
        <f t="shared" si="94"/>
        <v>38</v>
      </c>
      <c r="W798" s="26"/>
      <c r="X798" s="26"/>
      <c r="Y798" s="26"/>
      <c r="Z798" s="27"/>
      <c r="AA798" s="41"/>
      <c r="AB798" s="42"/>
    </row>
    <row r="799" spans="1:28" s="9" customFormat="1" ht="15">
      <c r="A799" s="944"/>
      <c r="B799" s="1320"/>
      <c r="C799" s="981" t="s">
        <v>1048</v>
      </c>
      <c r="D799" s="1048">
        <v>9</v>
      </c>
      <c r="E799" s="1049" t="s">
        <v>68</v>
      </c>
      <c r="F799" s="1050">
        <v>6</v>
      </c>
      <c r="G799" s="1048"/>
      <c r="H799" s="1049"/>
      <c r="I799" s="1050"/>
      <c r="J799" s="1051"/>
      <c r="K799" s="982"/>
      <c r="L799" s="982"/>
      <c r="M799" s="983"/>
      <c r="N799" s="1052"/>
      <c r="O799" s="984"/>
      <c r="P799" s="982"/>
      <c r="Q799" s="1041"/>
      <c r="R799" s="1554">
        <v>1</v>
      </c>
      <c r="S799" s="1054" t="s">
        <v>101</v>
      </c>
      <c r="T799" s="986" t="s">
        <v>90</v>
      </c>
      <c r="U799" s="1694"/>
      <c r="V799" s="1314">
        <f t="shared" si="94"/>
        <v>38</v>
      </c>
      <c r="W799" s="26"/>
      <c r="X799" s="26"/>
      <c r="Y799" s="26"/>
      <c r="Z799" s="27"/>
      <c r="AA799" s="41"/>
      <c r="AB799" s="42"/>
    </row>
    <row r="800" spans="1:28" s="9" customFormat="1" ht="15">
      <c r="A800" s="944"/>
      <c r="B800" s="1320"/>
      <c r="C800" s="981" t="s">
        <v>1048</v>
      </c>
      <c r="D800" s="1048">
        <v>9</v>
      </c>
      <c r="E800" s="1049" t="s">
        <v>68</v>
      </c>
      <c r="F800" s="1050">
        <v>11</v>
      </c>
      <c r="G800" s="1048"/>
      <c r="H800" s="1049"/>
      <c r="I800" s="1050"/>
      <c r="J800" s="1051"/>
      <c r="K800" s="982"/>
      <c r="L800" s="982"/>
      <c r="M800" s="983"/>
      <c r="N800" s="1052"/>
      <c r="O800" s="984"/>
      <c r="P800" s="982"/>
      <c r="Q800" s="1041"/>
      <c r="R800" s="1554">
        <v>1</v>
      </c>
      <c r="S800" s="1054" t="s">
        <v>101</v>
      </c>
      <c r="T800" s="986" t="s">
        <v>90</v>
      </c>
      <c r="U800" s="1694"/>
      <c r="V800" s="1314">
        <f t="shared" si="94"/>
        <v>38</v>
      </c>
      <c r="W800" s="26"/>
      <c r="X800" s="26"/>
      <c r="Y800" s="26"/>
      <c r="Z800" s="27"/>
      <c r="AA800" s="41"/>
      <c r="AB800" s="42"/>
    </row>
    <row r="801" spans="1:28" s="9" customFormat="1" ht="15">
      <c r="A801" s="944"/>
      <c r="B801" s="1320"/>
      <c r="C801" s="981" t="s">
        <v>1048</v>
      </c>
      <c r="D801" s="1048">
        <v>9</v>
      </c>
      <c r="E801" s="1049" t="s">
        <v>68</v>
      </c>
      <c r="F801" s="1050">
        <v>18</v>
      </c>
      <c r="G801" s="1048"/>
      <c r="H801" s="1049"/>
      <c r="I801" s="1050"/>
      <c r="J801" s="1051"/>
      <c r="K801" s="982"/>
      <c r="L801" s="982"/>
      <c r="M801" s="983"/>
      <c r="N801" s="1052"/>
      <c r="O801" s="984"/>
      <c r="P801" s="982"/>
      <c r="Q801" s="1041"/>
      <c r="R801" s="1554">
        <v>1</v>
      </c>
      <c r="S801" s="1054" t="s">
        <v>101</v>
      </c>
      <c r="T801" s="986" t="s">
        <v>90</v>
      </c>
      <c r="U801" s="1694"/>
      <c r="V801" s="1314">
        <f t="shared" si="94"/>
        <v>38</v>
      </c>
      <c r="W801" s="26"/>
      <c r="X801" s="26"/>
      <c r="Y801" s="26"/>
      <c r="Z801" s="27"/>
      <c r="AA801" s="41"/>
      <c r="AB801" s="42"/>
    </row>
    <row r="802" spans="1:28" s="9" customFormat="1" ht="15">
      <c r="A802" s="944"/>
      <c r="B802" s="1320"/>
      <c r="C802" s="981" t="s">
        <v>1048</v>
      </c>
      <c r="D802" s="1048">
        <v>10</v>
      </c>
      <c r="E802" s="1049" t="s">
        <v>68</v>
      </c>
      <c r="F802" s="1050">
        <v>7</v>
      </c>
      <c r="G802" s="1048"/>
      <c r="H802" s="1049"/>
      <c r="I802" s="1050"/>
      <c r="J802" s="1051"/>
      <c r="K802" s="982"/>
      <c r="L802" s="982"/>
      <c r="M802" s="983"/>
      <c r="N802" s="1052"/>
      <c r="O802" s="984"/>
      <c r="P802" s="982"/>
      <c r="Q802" s="1041"/>
      <c r="R802" s="1554">
        <v>1</v>
      </c>
      <c r="S802" s="1054" t="s">
        <v>101</v>
      </c>
      <c r="T802" s="986" t="s">
        <v>90</v>
      </c>
      <c r="U802" s="1694"/>
      <c r="V802" s="1314">
        <f t="shared" si="94"/>
        <v>38</v>
      </c>
      <c r="W802" s="26"/>
      <c r="X802" s="26"/>
      <c r="Y802" s="26"/>
      <c r="Z802" s="27"/>
      <c r="AA802" s="41"/>
      <c r="AB802" s="42"/>
    </row>
    <row r="803" spans="1:28" s="9" customFormat="1" ht="15">
      <c r="A803" s="944"/>
      <c r="B803" s="1320"/>
      <c r="C803" s="981" t="s">
        <v>1048</v>
      </c>
      <c r="D803" s="1048">
        <v>12</v>
      </c>
      <c r="E803" s="1049" t="s">
        <v>68</v>
      </c>
      <c r="F803" s="1050">
        <v>16</v>
      </c>
      <c r="G803" s="1048"/>
      <c r="H803" s="1049"/>
      <c r="I803" s="1050"/>
      <c r="J803" s="1051"/>
      <c r="K803" s="982"/>
      <c r="L803" s="982"/>
      <c r="M803" s="983"/>
      <c r="N803" s="1052"/>
      <c r="O803" s="984"/>
      <c r="P803" s="982"/>
      <c r="Q803" s="1041"/>
      <c r="R803" s="1554">
        <v>1</v>
      </c>
      <c r="S803" s="1054" t="s">
        <v>101</v>
      </c>
      <c r="T803" s="986" t="s">
        <v>90</v>
      </c>
      <c r="U803" s="1694"/>
      <c r="V803" s="1314">
        <f t="shared" si="94"/>
        <v>38</v>
      </c>
      <c r="W803" s="26"/>
      <c r="X803" s="26"/>
      <c r="Y803" s="26"/>
      <c r="Z803" s="27"/>
      <c r="AA803" s="41"/>
      <c r="AB803" s="42"/>
    </row>
    <row r="804" spans="1:28" s="9" customFormat="1" ht="15">
      <c r="A804" s="944"/>
      <c r="B804" s="1320"/>
      <c r="C804" s="981" t="s">
        <v>1048</v>
      </c>
      <c r="D804" s="1048">
        <v>12</v>
      </c>
      <c r="E804" s="1049" t="s">
        <v>68</v>
      </c>
      <c r="F804" s="1050">
        <v>18</v>
      </c>
      <c r="G804" s="1048"/>
      <c r="H804" s="1049"/>
      <c r="I804" s="1050"/>
      <c r="J804" s="1051"/>
      <c r="K804" s="982"/>
      <c r="L804" s="982"/>
      <c r="M804" s="983"/>
      <c r="N804" s="1052"/>
      <c r="O804" s="984"/>
      <c r="P804" s="982"/>
      <c r="Q804" s="1041"/>
      <c r="R804" s="1554">
        <v>1</v>
      </c>
      <c r="S804" s="1054" t="s">
        <v>101</v>
      </c>
      <c r="T804" s="986" t="s">
        <v>90</v>
      </c>
      <c r="U804" s="1694"/>
      <c r="V804" s="1314">
        <f t="shared" si="94"/>
        <v>38</v>
      </c>
      <c r="W804" s="26"/>
      <c r="X804" s="26"/>
      <c r="Y804" s="26"/>
      <c r="Z804" s="27"/>
      <c r="AA804" s="41"/>
      <c r="AB804" s="42"/>
    </row>
    <row r="805" spans="1:28" s="9" customFormat="1" ht="15">
      <c r="A805" s="944"/>
      <c r="B805" s="1320"/>
      <c r="C805" s="981" t="s">
        <v>1048</v>
      </c>
      <c r="D805" s="1048">
        <v>13</v>
      </c>
      <c r="E805" s="1049" t="s">
        <v>68</v>
      </c>
      <c r="F805" s="1050">
        <v>5</v>
      </c>
      <c r="G805" s="1048"/>
      <c r="H805" s="1049"/>
      <c r="I805" s="1050"/>
      <c r="J805" s="1051"/>
      <c r="K805" s="982"/>
      <c r="L805" s="982"/>
      <c r="M805" s="983"/>
      <c r="N805" s="1052"/>
      <c r="O805" s="984"/>
      <c r="P805" s="982"/>
      <c r="Q805" s="1041"/>
      <c r="R805" s="1554">
        <v>1</v>
      </c>
      <c r="S805" s="1054" t="s">
        <v>101</v>
      </c>
      <c r="T805" s="986" t="s">
        <v>90</v>
      </c>
      <c r="U805" s="1694"/>
      <c r="V805" s="1314">
        <f t="shared" si="94"/>
        <v>38</v>
      </c>
      <c r="W805" s="26"/>
      <c r="X805" s="26"/>
      <c r="Y805" s="26"/>
      <c r="Z805" s="27"/>
      <c r="AA805" s="41"/>
      <c r="AB805" s="42"/>
    </row>
    <row r="806" spans="1:28" s="9" customFormat="1" ht="15">
      <c r="A806" s="944"/>
      <c r="B806" s="1320"/>
      <c r="C806" s="981" t="s">
        <v>1048</v>
      </c>
      <c r="D806" s="1048">
        <v>14</v>
      </c>
      <c r="E806" s="1049" t="s">
        <v>68</v>
      </c>
      <c r="F806" s="1050">
        <v>4</v>
      </c>
      <c r="G806" s="1048"/>
      <c r="H806" s="1049"/>
      <c r="I806" s="1050"/>
      <c r="J806" s="1051"/>
      <c r="K806" s="982"/>
      <c r="L806" s="982"/>
      <c r="M806" s="983"/>
      <c r="N806" s="1052"/>
      <c r="O806" s="984"/>
      <c r="P806" s="982"/>
      <c r="Q806" s="1041"/>
      <c r="R806" s="1554">
        <v>1</v>
      </c>
      <c r="S806" s="1054" t="s">
        <v>101</v>
      </c>
      <c r="T806" s="986" t="s">
        <v>90</v>
      </c>
      <c r="U806" s="1694"/>
      <c r="V806" s="1314">
        <f t="shared" si="94"/>
        <v>38</v>
      </c>
      <c r="W806" s="26"/>
      <c r="X806" s="26"/>
      <c r="Y806" s="26"/>
      <c r="Z806" s="27"/>
      <c r="AA806" s="41"/>
      <c r="AB806" s="42"/>
    </row>
    <row r="807" spans="1:28" s="9" customFormat="1" ht="15">
      <c r="A807" s="944"/>
      <c r="B807" s="1320"/>
      <c r="C807" s="981" t="s">
        <v>1048</v>
      </c>
      <c r="D807" s="1048">
        <v>14</v>
      </c>
      <c r="E807" s="1049" t="s">
        <v>68</v>
      </c>
      <c r="F807" s="1050">
        <v>18</v>
      </c>
      <c r="G807" s="1048"/>
      <c r="H807" s="1049"/>
      <c r="I807" s="1050"/>
      <c r="J807" s="1051"/>
      <c r="K807" s="982"/>
      <c r="L807" s="982"/>
      <c r="M807" s="983"/>
      <c r="N807" s="1052"/>
      <c r="O807" s="984"/>
      <c r="P807" s="982"/>
      <c r="Q807" s="1041"/>
      <c r="R807" s="1554">
        <v>1</v>
      </c>
      <c r="S807" s="1054" t="s">
        <v>101</v>
      </c>
      <c r="T807" s="986" t="s">
        <v>90</v>
      </c>
      <c r="U807" s="1694"/>
      <c r="V807" s="1314">
        <f t="shared" si="94"/>
        <v>38</v>
      </c>
      <c r="W807" s="26"/>
      <c r="X807" s="26"/>
      <c r="Y807" s="26"/>
      <c r="Z807" s="27"/>
      <c r="AA807" s="41"/>
      <c r="AB807" s="42"/>
    </row>
    <row r="808" spans="1:28" s="9" customFormat="1" ht="15">
      <c r="A808" s="944"/>
      <c r="B808" s="1320"/>
      <c r="C808" s="981" t="s">
        <v>1048</v>
      </c>
      <c r="D808" s="1048">
        <v>15</v>
      </c>
      <c r="E808" s="1049" t="s">
        <v>68</v>
      </c>
      <c r="F808" s="1050">
        <v>6</v>
      </c>
      <c r="G808" s="1048"/>
      <c r="H808" s="1049"/>
      <c r="I808" s="1050"/>
      <c r="J808" s="1051"/>
      <c r="K808" s="982"/>
      <c r="L808" s="982"/>
      <c r="M808" s="983"/>
      <c r="N808" s="1052"/>
      <c r="O808" s="984"/>
      <c r="P808" s="982"/>
      <c r="Q808" s="1041"/>
      <c r="R808" s="1554">
        <v>1</v>
      </c>
      <c r="S808" s="1054" t="s">
        <v>101</v>
      </c>
      <c r="T808" s="986" t="s">
        <v>90</v>
      </c>
      <c r="U808" s="1694"/>
      <c r="V808" s="1314">
        <f t="shared" si="94"/>
        <v>38</v>
      </c>
      <c r="W808" s="26"/>
      <c r="X808" s="26"/>
      <c r="Y808" s="26"/>
      <c r="Z808" s="27"/>
      <c r="AA808" s="41"/>
      <c r="AB808" s="42"/>
    </row>
    <row r="809" spans="1:28" s="9" customFormat="1" ht="15">
      <c r="A809" s="944"/>
      <c r="B809" s="1320"/>
      <c r="C809" s="981" t="s">
        <v>1048</v>
      </c>
      <c r="D809" s="1048">
        <v>15</v>
      </c>
      <c r="E809" s="1049" t="s">
        <v>68</v>
      </c>
      <c r="F809" s="1050">
        <v>16</v>
      </c>
      <c r="G809" s="1048"/>
      <c r="H809" s="1049"/>
      <c r="I809" s="1050"/>
      <c r="J809" s="1051"/>
      <c r="K809" s="982"/>
      <c r="L809" s="982"/>
      <c r="M809" s="983"/>
      <c r="N809" s="1052"/>
      <c r="O809" s="984"/>
      <c r="P809" s="982"/>
      <c r="Q809" s="1041"/>
      <c r="R809" s="1554">
        <v>1</v>
      </c>
      <c r="S809" s="1054" t="s">
        <v>101</v>
      </c>
      <c r="T809" s="986" t="s">
        <v>90</v>
      </c>
      <c r="U809" s="1694"/>
      <c r="V809" s="1314">
        <f t="shared" si="94"/>
        <v>38</v>
      </c>
      <c r="W809" s="26"/>
      <c r="X809" s="26"/>
      <c r="Y809" s="26"/>
      <c r="Z809" s="27"/>
      <c r="AA809" s="41"/>
      <c r="AB809" s="42"/>
    </row>
    <row r="810" spans="1:28" s="9" customFormat="1" ht="15">
      <c r="A810" s="944"/>
      <c r="B810" s="1320"/>
      <c r="C810" s="981" t="s">
        <v>1048</v>
      </c>
      <c r="D810" s="1048">
        <v>16</v>
      </c>
      <c r="E810" s="1049" t="s">
        <v>68</v>
      </c>
      <c r="F810" s="1050">
        <v>5</v>
      </c>
      <c r="G810" s="1048"/>
      <c r="H810" s="1049"/>
      <c r="I810" s="1050"/>
      <c r="J810" s="1051"/>
      <c r="K810" s="982"/>
      <c r="L810" s="982"/>
      <c r="M810" s="983"/>
      <c r="N810" s="1052"/>
      <c r="O810" s="984"/>
      <c r="P810" s="982"/>
      <c r="Q810" s="1041"/>
      <c r="R810" s="1554">
        <v>1</v>
      </c>
      <c r="S810" s="1054" t="s">
        <v>101</v>
      </c>
      <c r="T810" s="986" t="s">
        <v>90</v>
      </c>
      <c r="U810" s="1694"/>
      <c r="V810" s="1314">
        <f t="shared" si="94"/>
        <v>38</v>
      </c>
      <c r="W810" s="26"/>
      <c r="X810" s="26"/>
      <c r="Y810" s="26"/>
      <c r="Z810" s="27"/>
      <c r="AA810" s="41"/>
      <c r="AB810" s="42"/>
    </row>
    <row r="811" spans="1:28" s="9" customFormat="1" ht="15">
      <c r="A811" s="944"/>
      <c r="B811" s="937"/>
      <c r="C811" s="76" t="s">
        <v>1048</v>
      </c>
      <c r="D811" s="962">
        <v>16</v>
      </c>
      <c r="E811" s="963" t="s">
        <v>68</v>
      </c>
      <c r="F811" s="964">
        <v>11</v>
      </c>
      <c r="G811" s="962"/>
      <c r="H811" s="963"/>
      <c r="I811" s="964"/>
      <c r="J811" s="77"/>
      <c r="K811" s="215"/>
      <c r="L811" s="215"/>
      <c r="M811" s="969"/>
      <c r="N811" s="970"/>
      <c r="O811" s="224"/>
      <c r="P811" s="215"/>
      <c r="Q811" s="971"/>
      <c r="R811" s="1554">
        <v>1</v>
      </c>
      <c r="S811" s="1485" t="s">
        <v>101</v>
      </c>
      <c r="T811" s="972" t="s">
        <v>90</v>
      </c>
      <c r="U811" s="956"/>
      <c r="V811" s="1314">
        <f t="shared" si="94"/>
        <v>38</v>
      </c>
      <c r="W811" s="26"/>
      <c r="X811" s="26"/>
      <c r="Y811" s="26"/>
      <c r="Z811" s="27"/>
      <c r="AA811" s="41"/>
      <c r="AB811" s="42"/>
    </row>
    <row r="812" spans="1:28" s="9" customFormat="1" ht="15">
      <c r="A812" s="944"/>
      <c r="B812" s="1320"/>
      <c r="C812" s="981" t="s">
        <v>1049</v>
      </c>
      <c r="D812" s="1048">
        <v>101</v>
      </c>
      <c r="E812" s="1049" t="s">
        <v>68</v>
      </c>
      <c r="F812" s="1050">
        <v>6</v>
      </c>
      <c r="G812" s="1048"/>
      <c r="H812" s="1049"/>
      <c r="I812" s="1050"/>
      <c r="J812" s="1051"/>
      <c r="K812" s="982"/>
      <c r="L812" s="982"/>
      <c r="M812" s="983"/>
      <c r="N812" s="1052"/>
      <c r="O812" s="984"/>
      <c r="P812" s="982"/>
      <c r="Q812" s="1041"/>
      <c r="R812" s="1911">
        <v>1</v>
      </c>
      <c r="S812" s="1054" t="s">
        <v>101</v>
      </c>
      <c r="T812" s="986" t="s">
        <v>90</v>
      </c>
      <c r="U812" s="1694"/>
      <c r="V812" s="1314">
        <f t="shared" si="94"/>
        <v>38</v>
      </c>
      <c r="W812" s="26"/>
      <c r="X812" s="26"/>
      <c r="Y812" s="26"/>
      <c r="Z812" s="27"/>
      <c r="AA812" s="41"/>
      <c r="AB812" s="42"/>
    </row>
    <row r="813" spans="1:28" s="9" customFormat="1" ht="15">
      <c r="A813" s="944"/>
      <c r="B813" s="1320"/>
      <c r="C813" s="981" t="s">
        <v>1049</v>
      </c>
      <c r="D813" s="1048">
        <v>101</v>
      </c>
      <c r="E813" s="1049" t="s">
        <v>68</v>
      </c>
      <c r="F813" s="1050">
        <v>12</v>
      </c>
      <c r="G813" s="1048"/>
      <c r="H813" s="1049"/>
      <c r="I813" s="1050"/>
      <c r="J813" s="1051"/>
      <c r="K813" s="982"/>
      <c r="L813" s="982"/>
      <c r="M813" s="983"/>
      <c r="N813" s="1052"/>
      <c r="O813" s="984"/>
      <c r="P813" s="982"/>
      <c r="Q813" s="1041"/>
      <c r="R813" s="1554">
        <v>1</v>
      </c>
      <c r="S813" s="1054" t="s">
        <v>101</v>
      </c>
      <c r="T813" s="986" t="s">
        <v>90</v>
      </c>
      <c r="U813" s="1694"/>
      <c r="V813" s="1314">
        <f t="shared" si="94"/>
        <v>38</v>
      </c>
      <c r="W813" s="26"/>
      <c r="X813" s="26"/>
      <c r="Y813" s="26"/>
      <c r="Z813" s="27"/>
      <c r="AA813" s="41"/>
      <c r="AB813" s="42"/>
    </row>
    <row r="814" spans="1:28" s="9" customFormat="1" ht="15">
      <c r="A814" s="944"/>
      <c r="B814" s="1320"/>
      <c r="C814" s="981" t="s">
        <v>1049</v>
      </c>
      <c r="D814" s="1048">
        <v>102</v>
      </c>
      <c r="E814" s="1049" t="s">
        <v>68</v>
      </c>
      <c r="F814" s="1050">
        <v>13</v>
      </c>
      <c r="G814" s="1048"/>
      <c r="H814" s="1049"/>
      <c r="I814" s="1050"/>
      <c r="J814" s="1051"/>
      <c r="K814" s="982"/>
      <c r="L814" s="982"/>
      <c r="M814" s="983"/>
      <c r="N814" s="1052"/>
      <c r="O814" s="984"/>
      <c r="P814" s="982"/>
      <c r="Q814" s="1041"/>
      <c r="R814" s="1554">
        <v>1</v>
      </c>
      <c r="S814" s="1054" t="s">
        <v>101</v>
      </c>
      <c r="T814" s="986" t="s">
        <v>90</v>
      </c>
      <c r="U814" s="1694"/>
      <c r="V814" s="1314">
        <f t="shared" si="94"/>
        <v>38</v>
      </c>
      <c r="W814" s="26"/>
      <c r="X814" s="26"/>
      <c r="Y814" s="26"/>
      <c r="Z814" s="27"/>
      <c r="AA814" s="41"/>
      <c r="AB814" s="42"/>
    </row>
    <row r="815" spans="1:28" s="9" customFormat="1" ht="15">
      <c r="A815" s="944"/>
      <c r="B815" s="1320"/>
      <c r="C815" s="981" t="s">
        <v>1049</v>
      </c>
      <c r="D815" s="1048">
        <v>103</v>
      </c>
      <c r="E815" s="1049" t="s">
        <v>68</v>
      </c>
      <c r="F815" s="1050">
        <v>2</v>
      </c>
      <c r="G815" s="1048"/>
      <c r="H815" s="1049"/>
      <c r="I815" s="1050"/>
      <c r="J815" s="1051"/>
      <c r="K815" s="982"/>
      <c r="L815" s="982"/>
      <c r="M815" s="983"/>
      <c r="N815" s="1052"/>
      <c r="O815" s="984"/>
      <c r="P815" s="982"/>
      <c r="Q815" s="1041"/>
      <c r="R815" s="1554">
        <v>1</v>
      </c>
      <c r="S815" s="1054" t="s">
        <v>101</v>
      </c>
      <c r="T815" s="986" t="s">
        <v>90</v>
      </c>
      <c r="U815" s="1694"/>
      <c r="V815" s="1314">
        <f t="shared" si="94"/>
        <v>38</v>
      </c>
      <c r="W815" s="26"/>
      <c r="X815" s="26"/>
      <c r="Y815" s="26"/>
      <c r="Z815" s="27"/>
      <c r="AA815" s="41"/>
      <c r="AB815" s="42"/>
    </row>
    <row r="816" spans="1:28" s="9" customFormat="1" ht="15">
      <c r="A816" s="944"/>
      <c r="B816" s="1320"/>
      <c r="C816" s="981" t="s">
        <v>1049</v>
      </c>
      <c r="D816" s="1048">
        <v>103</v>
      </c>
      <c r="E816" s="1049" t="s">
        <v>68</v>
      </c>
      <c r="F816" s="1050">
        <v>17</v>
      </c>
      <c r="G816" s="1048"/>
      <c r="H816" s="1049"/>
      <c r="I816" s="1050"/>
      <c r="J816" s="1051"/>
      <c r="K816" s="982"/>
      <c r="L816" s="982"/>
      <c r="M816" s="983"/>
      <c r="N816" s="1052"/>
      <c r="O816" s="984"/>
      <c r="P816" s="982"/>
      <c r="Q816" s="1041"/>
      <c r="R816" s="1554">
        <v>1</v>
      </c>
      <c r="S816" s="1054" t="s">
        <v>101</v>
      </c>
      <c r="T816" s="986" t="s">
        <v>90</v>
      </c>
      <c r="U816" s="1694"/>
      <c r="V816" s="1314">
        <f t="shared" si="94"/>
        <v>38</v>
      </c>
      <c r="W816" s="26"/>
      <c r="X816" s="26"/>
      <c r="Y816" s="26"/>
      <c r="Z816" s="27"/>
      <c r="AA816" s="41"/>
      <c r="AB816" s="42"/>
    </row>
    <row r="817" spans="1:36" s="9" customFormat="1" ht="15">
      <c r="A817" s="944"/>
      <c r="B817" s="1320"/>
      <c r="C817" s="981" t="s">
        <v>1049</v>
      </c>
      <c r="D817" s="1048">
        <v>104</v>
      </c>
      <c r="E817" s="1049" t="s">
        <v>68</v>
      </c>
      <c r="F817" s="1050">
        <v>9</v>
      </c>
      <c r="G817" s="1048"/>
      <c r="H817" s="1049"/>
      <c r="I817" s="1050"/>
      <c r="J817" s="1051"/>
      <c r="K817" s="982"/>
      <c r="L817" s="982"/>
      <c r="M817" s="983"/>
      <c r="N817" s="1052"/>
      <c r="O817" s="984"/>
      <c r="P817" s="982"/>
      <c r="Q817" s="1041"/>
      <c r="R817" s="1554">
        <v>1</v>
      </c>
      <c r="S817" s="1054" t="s">
        <v>101</v>
      </c>
      <c r="T817" s="986" t="s">
        <v>90</v>
      </c>
      <c r="U817" s="1694"/>
      <c r="V817" s="1314">
        <f t="shared" si="94"/>
        <v>38</v>
      </c>
      <c r="W817" s="26"/>
      <c r="X817" s="26"/>
      <c r="Y817" s="26"/>
      <c r="Z817" s="27"/>
      <c r="AA817" s="41"/>
      <c r="AB817" s="42"/>
    </row>
    <row r="818" spans="1:36" s="9" customFormat="1" ht="15">
      <c r="A818" s="944"/>
      <c r="B818" s="1320"/>
      <c r="C818" s="981" t="s">
        <v>1049</v>
      </c>
      <c r="D818" s="156">
        <v>104</v>
      </c>
      <c r="E818" s="86" t="s">
        <v>68</v>
      </c>
      <c r="F818" s="155">
        <v>13</v>
      </c>
      <c r="G818" s="156"/>
      <c r="H818" s="86"/>
      <c r="I818" s="155"/>
      <c r="J818" s="1051"/>
      <c r="K818" s="982"/>
      <c r="L818" s="982"/>
      <c r="M818" s="983"/>
      <c r="N818" s="1052"/>
      <c r="O818" s="984"/>
      <c r="P818" s="982"/>
      <c r="Q818" s="1041"/>
      <c r="R818" s="1554">
        <v>1</v>
      </c>
      <c r="S818" s="1054" t="s">
        <v>101</v>
      </c>
      <c r="T818" s="986" t="s">
        <v>90</v>
      </c>
      <c r="U818" s="956"/>
      <c r="V818" s="1314">
        <f>V819</f>
        <v>38</v>
      </c>
      <c r="W818" s="26"/>
      <c r="X818" s="26"/>
      <c r="Y818" s="26"/>
      <c r="Z818" s="27"/>
      <c r="AA818" s="41"/>
      <c r="AB818" s="42"/>
    </row>
    <row r="819" spans="1:36" s="724" customFormat="1" ht="15">
      <c r="A819" s="717"/>
      <c r="B819" s="1925"/>
      <c r="C819" s="76" t="s">
        <v>1049</v>
      </c>
      <c r="D819" s="962">
        <v>107</v>
      </c>
      <c r="E819" s="963" t="s">
        <v>68</v>
      </c>
      <c r="F819" s="964">
        <v>2</v>
      </c>
      <c r="G819" s="962"/>
      <c r="H819" s="963"/>
      <c r="I819" s="964"/>
      <c r="J819" s="77"/>
      <c r="K819" s="215"/>
      <c r="L819" s="215"/>
      <c r="M819" s="969"/>
      <c r="N819" s="970"/>
      <c r="O819" s="224"/>
      <c r="P819" s="215"/>
      <c r="Q819" s="971"/>
      <c r="R819" s="1554">
        <v>1</v>
      </c>
      <c r="S819" s="1485" t="s">
        <v>101</v>
      </c>
      <c r="T819" s="972" t="s">
        <v>90</v>
      </c>
      <c r="U819" s="956"/>
      <c r="V819" s="1314">
        <f t="shared" ref="V819:V820" si="95">V820</f>
        <v>38</v>
      </c>
      <c r="W819" s="26"/>
      <c r="X819" s="26"/>
      <c r="Y819" s="720"/>
      <c r="Z819" s="721"/>
      <c r="AA819" s="722"/>
      <c r="AB819" s="723"/>
    </row>
    <row r="820" spans="1:36" s="724" customFormat="1" ht="15">
      <c r="A820" s="717"/>
      <c r="B820" s="1912"/>
      <c r="C820" s="1913" t="s">
        <v>1049</v>
      </c>
      <c r="D820" s="1914">
        <v>113</v>
      </c>
      <c r="E820" s="1057" t="s">
        <v>68</v>
      </c>
      <c r="F820" s="1915">
        <v>6</v>
      </c>
      <c r="G820" s="1914"/>
      <c r="H820" s="1057"/>
      <c r="I820" s="1915"/>
      <c r="J820" s="1916"/>
      <c r="K820" s="1917"/>
      <c r="L820" s="1917"/>
      <c r="M820" s="1918"/>
      <c r="N820" s="1076"/>
      <c r="O820" s="1919"/>
      <c r="P820" s="1917"/>
      <c r="Q820" s="1920"/>
      <c r="R820" s="1921">
        <v>1</v>
      </c>
      <c r="S820" s="1922" t="s">
        <v>101</v>
      </c>
      <c r="T820" s="1923" t="s">
        <v>90</v>
      </c>
      <c r="U820" s="1924"/>
      <c r="V820" s="1314">
        <f t="shared" si="95"/>
        <v>38</v>
      </c>
      <c r="W820" s="26"/>
      <c r="X820" s="26"/>
      <c r="Y820" s="720"/>
      <c r="Z820" s="721"/>
      <c r="AA820" s="722"/>
      <c r="AB820" s="723"/>
    </row>
    <row r="821" spans="1:36" s="8" customFormat="1" ht="15.75" customHeight="1">
      <c r="A821" s="516"/>
      <c r="B821" s="877"/>
      <c r="C821" s="113"/>
      <c r="D821" s="2436" t="s">
        <v>18</v>
      </c>
      <c r="E821" s="2437"/>
      <c r="F821" s="2437"/>
      <c r="G821" s="2437"/>
      <c r="H821" s="2437"/>
      <c r="I821" s="2438"/>
      <c r="J821" s="2439">
        <f>VLOOKUP(A823,'12 - FINANCEIRA'!_xlnm.Print_Area,6,FALSE)</f>
        <v>38</v>
      </c>
      <c r="K821" s="2440"/>
      <c r="L821" s="910" t="str">
        <f>VLOOKUP(A823,'12 - FINANCEIRA'!_xlnm.Print_Area,4,FALSE)</f>
        <v>und</v>
      </c>
      <c r="M821" s="2441" t="s">
        <v>19</v>
      </c>
      <c r="N821" s="2442"/>
      <c r="O821" s="2442"/>
      <c r="P821" s="2442"/>
      <c r="Q821" s="2443"/>
      <c r="R821" s="904">
        <f>SUM(R783:R820)</f>
        <v>38</v>
      </c>
      <c r="S821" s="905" t="str">
        <f>L821</f>
        <v>und</v>
      </c>
      <c r="T821" s="680"/>
      <c r="U821" s="663"/>
      <c r="V821" s="1314">
        <f>V822</f>
        <v>38</v>
      </c>
      <c r="AB821" s="15"/>
    </row>
    <row r="822" spans="1:36" s="8" customFormat="1" ht="15.75" customHeight="1">
      <c r="A822" s="516"/>
      <c r="B822" s="877"/>
      <c r="C822" s="681"/>
      <c r="D822" s="2444" t="s">
        <v>20</v>
      </c>
      <c r="E822" s="2445"/>
      <c r="F822" s="2445"/>
      <c r="G822" s="2445"/>
      <c r="H822" s="2445"/>
      <c r="I822" s="2446"/>
      <c r="J822" s="2450">
        <f>R821/J821</f>
        <v>1</v>
      </c>
      <c r="K822" s="2451"/>
      <c r="L822" s="2454"/>
      <c r="M822" s="2441" t="s">
        <v>21</v>
      </c>
      <c r="N822" s="2442"/>
      <c r="O822" s="2442"/>
      <c r="P822" s="2442"/>
      <c r="Q822" s="2443"/>
      <c r="R822" s="878">
        <f>VLOOKUP(A823,'12 - FINANCEIRA'!_xlnm.Print_Area,8,FALSE)</f>
        <v>0</v>
      </c>
      <c r="S822" s="879" t="str">
        <f>L821</f>
        <v>und</v>
      </c>
      <c r="T822" s="680"/>
      <c r="U822" s="663"/>
      <c r="V822" s="1314">
        <f>V823</f>
        <v>38</v>
      </c>
      <c r="AB822" s="15"/>
    </row>
    <row r="823" spans="1:36" s="8" customFormat="1" ht="15.75" customHeight="1">
      <c r="A823" s="516" t="s">
        <v>967</v>
      </c>
      <c r="B823" s="880"/>
      <c r="C823" s="885"/>
      <c r="D823" s="2475"/>
      <c r="E823" s="2460"/>
      <c r="F823" s="2460"/>
      <c r="G823" s="2460"/>
      <c r="H823" s="2460"/>
      <c r="I823" s="2476"/>
      <c r="J823" s="2477"/>
      <c r="K823" s="2478"/>
      <c r="L823" s="2470"/>
      <c r="M823" s="2441" t="s">
        <v>22</v>
      </c>
      <c r="N823" s="2442"/>
      <c r="O823" s="2442"/>
      <c r="P823" s="2442"/>
      <c r="Q823" s="2443"/>
      <c r="R823" s="878">
        <f>R821-R822</f>
        <v>38</v>
      </c>
      <c r="S823" s="879" t="str">
        <f>L821</f>
        <v>und</v>
      </c>
      <c r="T823" s="886"/>
      <c r="U823" s="881"/>
      <c r="V823" s="1314">
        <f>R823</f>
        <v>38</v>
      </c>
      <c r="AB823" s="15"/>
    </row>
    <row r="824" spans="1:36" s="8" customFormat="1" ht="15.75">
      <c r="A824" s="516"/>
      <c r="B824" s="523"/>
      <c r="C824" s="524"/>
      <c r="D824" s="526"/>
      <c r="E824" s="526"/>
      <c r="F824" s="526"/>
      <c r="G824" s="525"/>
      <c r="H824" s="525"/>
      <c r="I824" s="525"/>
      <c r="J824" s="527"/>
      <c r="K824" s="528"/>
      <c r="L824" s="529"/>
      <c r="M824" s="530"/>
      <c r="N824" s="530"/>
      <c r="O824" s="530"/>
      <c r="P824" s="530"/>
      <c r="Q824" s="530"/>
      <c r="R824" s="531"/>
      <c r="S824" s="532"/>
      <c r="T824" s="533"/>
      <c r="U824" s="534"/>
      <c r="V824" s="1658">
        <f>SUM(V781:V823)</f>
        <v>1634</v>
      </c>
      <c r="AB824" s="15"/>
    </row>
    <row r="825" spans="1:36" s="497" customFormat="1" ht="15.75" customHeight="1">
      <c r="A825" s="495"/>
      <c r="B825" s="2423" t="str">
        <f>VLOOKUP(A833,'12 - FINANCEIRA'!_xlnm.Print_Area,1,FALSE)</f>
        <v>3.2.11</v>
      </c>
      <c r="C825" s="2421" t="str">
        <f>VLOOKUP(A833,'12 - FINANCEIRA'!_xlnm.Print_Area,3,FALSE)</f>
        <v>Pavimentação com blocos de concreto (35 MPa), esp.=08cm, sobre colchão de areia 5cm, inclusive fornecim. e transporte blocos e areia, em Vias Urbanas</v>
      </c>
      <c r="D825" s="2479" t="s">
        <v>97</v>
      </c>
      <c r="E825" s="2480"/>
      <c r="F825" s="2480"/>
      <c r="G825" s="2480"/>
      <c r="H825" s="2480"/>
      <c r="I825" s="2481"/>
      <c r="J825" s="2416" t="s">
        <v>98</v>
      </c>
      <c r="K825" s="2416" t="s">
        <v>102</v>
      </c>
      <c r="L825" s="2416" t="s">
        <v>103</v>
      </c>
      <c r="M825" s="2416" t="s">
        <v>228</v>
      </c>
      <c r="N825" s="2416" t="s">
        <v>229</v>
      </c>
      <c r="O825" s="2416" t="s">
        <v>107</v>
      </c>
      <c r="P825" s="2425" t="s">
        <v>1081</v>
      </c>
      <c r="Q825" s="2416" t="s">
        <v>717</v>
      </c>
      <c r="R825" s="2425" t="s">
        <v>2</v>
      </c>
      <c r="S825" s="2416" t="s">
        <v>99</v>
      </c>
      <c r="T825" s="2416" t="s">
        <v>17</v>
      </c>
      <c r="U825" s="2428" t="s">
        <v>362</v>
      </c>
      <c r="V825" s="1314">
        <f>V826</f>
        <v>2310.56</v>
      </c>
      <c r="W825" s="26"/>
      <c r="X825" s="26"/>
      <c r="Y825" s="26"/>
      <c r="Z825" s="27"/>
      <c r="AA825" s="9"/>
      <c r="AB825" s="9"/>
      <c r="AC825" s="9"/>
      <c r="AD825" s="9"/>
      <c r="AE825" s="9"/>
      <c r="AF825" s="9"/>
      <c r="AG825" s="9"/>
      <c r="AH825" s="9"/>
      <c r="AI825" s="9"/>
      <c r="AJ825" s="9"/>
    </row>
    <row r="826" spans="1:36" s="497" customFormat="1" ht="35.25" customHeight="1">
      <c r="A826" s="495"/>
      <c r="B826" s="2424" t="e">
        <f>LEFT(#REF!,5)</f>
        <v>#REF!</v>
      </c>
      <c r="C826" s="2422" t="e">
        <f>VLOOKUP(LEFT(#REF!,5),'12 - FINANCEIRA'!_xlnm.Print_Area,2,FALSE)</f>
        <v>#REF!</v>
      </c>
      <c r="D826" s="2430" t="s">
        <v>14</v>
      </c>
      <c r="E826" s="2431"/>
      <c r="F826" s="2432"/>
      <c r="G826" s="2433" t="s">
        <v>15</v>
      </c>
      <c r="H826" s="2434"/>
      <c r="I826" s="2435"/>
      <c r="J826" s="2417"/>
      <c r="K826" s="2417"/>
      <c r="L826" s="2417"/>
      <c r="M826" s="2417"/>
      <c r="N826" s="2417"/>
      <c r="O826" s="2417"/>
      <c r="P826" s="2473"/>
      <c r="Q826" s="2417"/>
      <c r="R826" s="2473"/>
      <c r="S826" s="2417"/>
      <c r="T826" s="2417"/>
      <c r="U826" s="2474"/>
      <c r="V826" s="1314">
        <f>V827</f>
        <v>2310.56</v>
      </c>
      <c r="W826" s="26"/>
      <c r="X826" s="26"/>
      <c r="Y826" s="26"/>
      <c r="Z826" s="27"/>
      <c r="AA826" s="9"/>
      <c r="AB826" s="9"/>
      <c r="AC826" s="9"/>
      <c r="AD826" s="9"/>
      <c r="AE826" s="9"/>
      <c r="AF826" s="9"/>
      <c r="AG826" s="9"/>
      <c r="AH826" s="9"/>
      <c r="AI826" s="9"/>
      <c r="AJ826" s="9"/>
    </row>
    <row r="827" spans="1:36" s="9" customFormat="1" ht="45">
      <c r="A827" s="944"/>
      <c r="B827" s="921"/>
      <c r="C827" s="1420" t="s">
        <v>1079</v>
      </c>
      <c r="D827" s="156">
        <v>100</v>
      </c>
      <c r="E827" s="86" t="s">
        <v>68</v>
      </c>
      <c r="F827" s="155">
        <v>0</v>
      </c>
      <c r="G827" s="156">
        <v>113</v>
      </c>
      <c r="H827" s="86" t="s">
        <v>68</v>
      </c>
      <c r="I827" s="155">
        <v>14.75</v>
      </c>
      <c r="J827" s="138" t="s">
        <v>105</v>
      </c>
      <c r="K827" s="1423"/>
      <c r="L827" s="1423"/>
      <c r="M827" s="1424"/>
      <c r="N827" s="1425">
        <v>2393.6</v>
      </c>
      <c r="O827" s="1645"/>
      <c r="P827" s="1790">
        <v>0.4</v>
      </c>
      <c r="Q827" s="1646">
        <f>N827*0.6</f>
        <v>1436.1599999999999</v>
      </c>
      <c r="R827" s="1731">
        <f>TRUNC(Q827,3)</f>
        <v>1436.16</v>
      </c>
      <c r="S827" s="1647" t="s">
        <v>7</v>
      </c>
      <c r="T827" s="1632" t="s">
        <v>90</v>
      </c>
      <c r="U827" s="1827"/>
      <c r="V827" s="1314">
        <f>V828</f>
        <v>2310.56</v>
      </c>
      <c r="W827" s="26"/>
      <c r="X827" s="26">
        <v>440.18400000000003</v>
      </c>
      <c r="Y827" s="26"/>
      <c r="Z827" s="27"/>
      <c r="AA827" s="41"/>
      <c r="AB827" s="42"/>
    </row>
    <row r="828" spans="1:36" s="9" customFormat="1" ht="69.75" customHeight="1">
      <c r="A828" s="944"/>
      <c r="B828" s="1479"/>
      <c r="C828" s="981" t="s">
        <v>1080</v>
      </c>
      <c r="D828" s="962">
        <v>0</v>
      </c>
      <c r="E828" s="963" t="s">
        <v>68</v>
      </c>
      <c r="F828" s="964">
        <v>0</v>
      </c>
      <c r="G828" s="962">
        <v>17</v>
      </c>
      <c r="H828" s="963" t="s">
        <v>68</v>
      </c>
      <c r="I828" s="964">
        <v>4</v>
      </c>
      <c r="J828" s="156" t="s">
        <v>105</v>
      </c>
      <c r="K828" s="215"/>
      <c r="L828" s="982"/>
      <c r="M828" s="983"/>
      <c r="N828" s="1052">
        <v>1978.28</v>
      </c>
      <c r="O828" s="984"/>
      <c r="P828" s="1791">
        <v>0.4</v>
      </c>
      <c r="Q828" s="1041">
        <f>N828*0.6</f>
        <v>1186.9679999999998</v>
      </c>
      <c r="R828" s="1789">
        <f>TRUNC(Q828-312.568,3)</f>
        <v>874.4</v>
      </c>
      <c r="S828" s="1054" t="s">
        <v>7</v>
      </c>
      <c r="T828" s="986" t="s">
        <v>90</v>
      </c>
      <c r="U828" s="212" t="s">
        <v>1078</v>
      </c>
      <c r="V828" s="1314">
        <f>V829</f>
        <v>2310.56</v>
      </c>
      <c r="W828" s="26"/>
      <c r="X828" s="26">
        <v>426.661</v>
      </c>
      <c r="Y828" s="26"/>
      <c r="Z828" s="27"/>
      <c r="AA828" s="41"/>
      <c r="AB828" s="42"/>
    </row>
    <row r="829" spans="1:36" s="724" customFormat="1" ht="15">
      <c r="A829" s="1379"/>
      <c r="B829" s="1055"/>
      <c r="C829" s="76"/>
      <c r="D829" s="963"/>
      <c r="E829" s="963"/>
      <c r="F829" s="964"/>
      <c r="G829" s="962"/>
      <c r="H829" s="963"/>
      <c r="I829" s="964"/>
      <c r="J829" s="1397"/>
      <c r="K829" s="982"/>
      <c r="L829" s="982"/>
      <c r="M829" s="982"/>
      <c r="N829" s="982"/>
      <c r="O829" s="1054"/>
      <c r="P829" s="982"/>
      <c r="Q829" s="1054"/>
      <c r="R829" s="1053"/>
      <c r="S829" s="1054"/>
      <c r="T829" s="986"/>
      <c r="U829" s="212"/>
      <c r="V829" s="1314">
        <f t="shared" ref="V829:V830" si="96">V830</f>
        <v>2310.56</v>
      </c>
      <c r="W829" s="26"/>
      <c r="X829" s="26">
        <v>606.87300000000005</v>
      </c>
      <c r="Y829" s="720"/>
      <c r="Z829" s="721"/>
      <c r="AA829" s="722"/>
      <c r="AB829" s="723"/>
    </row>
    <row r="830" spans="1:36" s="724" customFormat="1" ht="15">
      <c r="A830" s="1387"/>
      <c r="B830" s="1065"/>
      <c r="C830" s="967"/>
      <c r="D830" s="1097"/>
      <c r="E830" s="1097"/>
      <c r="F830" s="1098"/>
      <c r="G830" s="1096"/>
      <c r="H830" s="1097"/>
      <c r="I830" s="1098"/>
      <c r="J830" s="1396"/>
      <c r="K830" s="978"/>
      <c r="L830" s="978"/>
      <c r="M830" s="978"/>
      <c r="N830" s="978"/>
      <c r="O830" s="1106"/>
      <c r="P830" s="978"/>
      <c r="Q830" s="1106"/>
      <c r="R830" s="1388"/>
      <c r="S830" s="1106"/>
      <c r="T830" s="1027"/>
      <c r="U830" s="1023"/>
      <c r="V830" s="1314">
        <f t="shared" si="96"/>
        <v>2310.56</v>
      </c>
      <c r="W830" s="26"/>
      <c r="X830" s="26">
        <v>1383.6790000000001</v>
      </c>
      <c r="Y830" s="720"/>
      <c r="Z830" s="721"/>
      <c r="AA830" s="722"/>
      <c r="AB830" s="723"/>
    </row>
    <row r="831" spans="1:36" s="8" customFormat="1" ht="15.75" customHeight="1">
      <c r="A831" s="516"/>
      <c r="B831" s="877"/>
      <c r="C831" s="113"/>
      <c r="D831" s="2436" t="s">
        <v>18</v>
      </c>
      <c r="E831" s="2437"/>
      <c r="F831" s="2437"/>
      <c r="G831" s="2437"/>
      <c r="H831" s="2437"/>
      <c r="I831" s="2438"/>
      <c r="J831" s="2439">
        <f>VLOOKUP(A833,'12 - FINANCEIRA'!_xlnm.Print_Area,6,FALSE)</f>
        <v>2310.56</v>
      </c>
      <c r="K831" s="2440"/>
      <c r="L831" s="910" t="str">
        <f>VLOOKUP(A833,'12 - FINANCEIRA'!_xlnm.Print_Area,4,FALSE)</f>
        <v>m²</v>
      </c>
      <c r="M831" s="2441" t="s">
        <v>19</v>
      </c>
      <c r="N831" s="2442"/>
      <c r="O831" s="2442"/>
      <c r="P831" s="2442"/>
      <c r="Q831" s="2443"/>
      <c r="R831" s="904">
        <f>SUM(R827:R830)</f>
        <v>2310.56</v>
      </c>
      <c r="S831" s="905" t="str">
        <f>L831</f>
        <v>m²</v>
      </c>
      <c r="T831" s="1028"/>
      <c r="U831" s="663"/>
      <c r="V831" s="1314">
        <f>V832</f>
        <v>2310.56</v>
      </c>
      <c r="X831" s="8">
        <f>SUM(X827:X830)</f>
        <v>2857.3969999999999</v>
      </c>
      <c r="AB831" s="15"/>
    </row>
    <row r="832" spans="1:36" s="8" customFormat="1" ht="15.75" customHeight="1">
      <c r="A832" s="516"/>
      <c r="B832" s="877"/>
      <c r="C832" s="681"/>
      <c r="D832" s="2444" t="s">
        <v>20</v>
      </c>
      <c r="E832" s="2445"/>
      <c r="F832" s="2445"/>
      <c r="G832" s="2445"/>
      <c r="H832" s="2445"/>
      <c r="I832" s="2446"/>
      <c r="J832" s="2450">
        <f>R831/J831</f>
        <v>1</v>
      </c>
      <c r="K832" s="2451"/>
      <c r="L832" s="2454"/>
      <c r="M832" s="2441" t="s">
        <v>21</v>
      </c>
      <c r="N832" s="2442"/>
      <c r="O832" s="2442"/>
      <c r="P832" s="2442"/>
      <c r="Q832" s="2443"/>
      <c r="R832" s="878">
        <f>VLOOKUP(A833,'12 - FINANCEIRA'!_xlnm.Print_Area,8,FALSE)</f>
        <v>0</v>
      </c>
      <c r="S832" s="879" t="str">
        <f>L831</f>
        <v>m²</v>
      </c>
      <c r="T832" s="680"/>
      <c r="U832" s="663"/>
      <c r="V832" s="1314">
        <f>V833</f>
        <v>2310.56</v>
      </c>
      <c r="AB832" s="15"/>
    </row>
    <row r="833" spans="1:36" s="8" customFormat="1" ht="15.75" customHeight="1">
      <c r="A833" s="516" t="s">
        <v>968</v>
      </c>
      <c r="B833" s="877"/>
      <c r="C833" s="113"/>
      <c r="D833" s="2475"/>
      <c r="E833" s="2460"/>
      <c r="F833" s="2460"/>
      <c r="G833" s="2460"/>
      <c r="H833" s="2460"/>
      <c r="I833" s="2476"/>
      <c r="J833" s="2477"/>
      <c r="K833" s="2478"/>
      <c r="L833" s="2470"/>
      <c r="M833" s="2441" t="s">
        <v>22</v>
      </c>
      <c r="N833" s="2442"/>
      <c r="O833" s="2442"/>
      <c r="P833" s="2442"/>
      <c r="Q833" s="2443"/>
      <c r="R833" s="521">
        <f>R831-R832</f>
        <v>2310.56</v>
      </c>
      <c r="S833" s="522" t="str">
        <f>L831</f>
        <v>m²</v>
      </c>
      <c r="T833" s="680"/>
      <c r="U833" s="663"/>
      <c r="V833" s="1314">
        <f>R833</f>
        <v>2310.56</v>
      </c>
      <c r="AB833" s="15"/>
    </row>
    <row r="834" spans="1:36" s="8" customFormat="1" ht="15.75">
      <c r="A834" s="516"/>
      <c r="B834" s="523"/>
      <c r="C834" s="524"/>
      <c r="D834" s="526"/>
      <c r="E834" s="526"/>
      <c r="F834" s="526"/>
      <c r="G834" s="525"/>
      <c r="H834" s="525"/>
      <c r="I834" s="525"/>
      <c r="J834" s="527"/>
      <c r="K834" s="528"/>
      <c r="L834" s="529"/>
      <c r="M834" s="530"/>
      <c r="N834" s="530"/>
      <c r="O834" s="530"/>
      <c r="P834" s="530"/>
      <c r="Q834" s="530"/>
      <c r="R834" s="531"/>
      <c r="S834" s="532"/>
      <c r="T834" s="533"/>
      <c r="U834" s="534"/>
      <c r="V834" s="1658">
        <f>SUM(V825:V833)</f>
        <v>20795.04</v>
      </c>
      <c r="AB834" s="15"/>
    </row>
    <row r="835" spans="1:36" s="497" customFormat="1" ht="15.75" customHeight="1">
      <c r="A835" s="495"/>
      <c r="B835" s="2423" t="str">
        <f>VLOOKUP(A847,'12 - FINANCEIRA'!_xlnm.Print_Area,1,FALSE)</f>
        <v>3.2.12</v>
      </c>
      <c r="C835" s="2421" t="str">
        <f>VLOOKUP(A847,'12 - FINANCEIRA'!_xlnm.Print_Area,3,FALSE)</f>
        <v>Meio fio (remoção e reassentamento), inclusive caiação</v>
      </c>
      <c r="D835" s="2479" t="s">
        <v>97</v>
      </c>
      <c r="E835" s="2480"/>
      <c r="F835" s="2480"/>
      <c r="G835" s="2480"/>
      <c r="H835" s="2480"/>
      <c r="I835" s="2481"/>
      <c r="J835" s="2416" t="s">
        <v>98</v>
      </c>
      <c r="K835" s="2416" t="s">
        <v>102</v>
      </c>
      <c r="L835" s="2416" t="s">
        <v>103</v>
      </c>
      <c r="M835" s="2416" t="s">
        <v>228</v>
      </c>
      <c r="N835" s="2416" t="s">
        <v>525</v>
      </c>
      <c r="O835" s="2416" t="s">
        <v>107</v>
      </c>
      <c r="P835" s="2416" t="s">
        <v>613</v>
      </c>
      <c r="Q835" s="2416" t="s">
        <v>16</v>
      </c>
      <c r="R835" s="2425" t="s">
        <v>2</v>
      </c>
      <c r="S835" s="2416" t="s">
        <v>99</v>
      </c>
      <c r="T835" s="2416" t="s">
        <v>17</v>
      </c>
      <c r="U835" s="2428" t="s">
        <v>362</v>
      </c>
      <c r="V835" s="1314">
        <f>V836</f>
        <v>110</v>
      </c>
      <c r="W835" s="26"/>
      <c r="X835" s="26"/>
      <c r="Y835" s="26"/>
      <c r="Z835" s="27"/>
      <c r="AA835" s="9"/>
      <c r="AB835" s="9"/>
      <c r="AC835" s="9"/>
      <c r="AD835" s="9"/>
      <c r="AE835" s="9"/>
      <c r="AF835" s="9"/>
      <c r="AG835" s="9"/>
      <c r="AH835" s="9"/>
      <c r="AI835" s="9"/>
      <c r="AJ835" s="9"/>
    </row>
    <row r="836" spans="1:36" s="497" customFormat="1" ht="15.75">
      <c r="A836" s="495"/>
      <c r="B836" s="2424" t="e">
        <f>LEFT(#REF!,5)</f>
        <v>#REF!</v>
      </c>
      <c r="C836" s="2422" t="e">
        <f>VLOOKUP(LEFT(#REF!,5),'12 - FINANCEIRA'!_xlnm.Print_Area,2,FALSE)</f>
        <v>#REF!</v>
      </c>
      <c r="D836" s="2430" t="s">
        <v>14</v>
      </c>
      <c r="E836" s="2431"/>
      <c r="F836" s="2432"/>
      <c r="G836" s="2433" t="s">
        <v>15</v>
      </c>
      <c r="H836" s="2434"/>
      <c r="I836" s="2435"/>
      <c r="J836" s="2417"/>
      <c r="K836" s="2417"/>
      <c r="L836" s="2417"/>
      <c r="M836" s="2417"/>
      <c r="N836" s="2417"/>
      <c r="O836" s="2417"/>
      <c r="P836" s="2417"/>
      <c r="Q836" s="2417"/>
      <c r="R836" s="2473"/>
      <c r="S836" s="2417"/>
      <c r="T836" s="2417"/>
      <c r="U836" s="2474"/>
      <c r="V836" s="1314">
        <f>V837</f>
        <v>110</v>
      </c>
      <c r="W836" s="26"/>
      <c r="X836" s="26"/>
      <c r="Y836" s="26"/>
      <c r="Z836" s="27"/>
      <c r="AA836" s="9"/>
      <c r="AB836" s="9"/>
      <c r="AC836" s="9"/>
      <c r="AD836" s="9"/>
      <c r="AE836" s="9"/>
      <c r="AF836" s="9"/>
      <c r="AG836" s="9"/>
      <c r="AH836" s="9"/>
      <c r="AI836" s="9"/>
      <c r="AJ836" s="9"/>
    </row>
    <row r="837" spans="1:36" s="9" customFormat="1" ht="30" customHeight="1">
      <c r="A837" s="944"/>
      <c r="B837" s="921"/>
      <c r="C837" s="1420" t="s">
        <v>1082</v>
      </c>
      <c r="D837" s="1738">
        <v>105</v>
      </c>
      <c r="E837" s="1739" t="s">
        <v>68</v>
      </c>
      <c r="F837" s="1740">
        <v>9</v>
      </c>
      <c r="G837" s="1738">
        <v>106</v>
      </c>
      <c r="H837" s="1739" t="s">
        <v>68</v>
      </c>
      <c r="I837" s="1740">
        <v>3</v>
      </c>
      <c r="J837" s="1421" t="s">
        <v>70</v>
      </c>
      <c r="K837" s="215">
        <f t="shared" ref="K837:K839" si="97">20*(G837-D837)+I837-F837</f>
        <v>14</v>
      </c>
      <c r="L837" s="1423"/>
      <c r="M837" s="1424"/>
      <c r="N837" s="1423"/>
      <c r="O837" s="1645"/>
      <c r="P837" s="1647"/>
      <c r="Q837" s="1647"/>
      <c r="R837" s="985">
        <f>K837</f>
        <v>14</v>
      </c>
      <c r="S837" s="1647" t="s">
        <v>8</v>
      </c>
      <c r="T837" s="1632" t="s">
        <v>90</v>
      </c>
      <c r="U837" s="1741" t="s">
        <v>1066</v>
      </c>
      <c r="V837" s="1314">
        <f t="shared" ref="V837:V843" si="98">V838</f>
        <v>110</v>
      </c>
      <c r="W837" s="26"/>
      <c r="X837" s="26"/>
      <c r="Y837" s="26"/>
      <c r="Z837" s="27"/>
      <c r="AA837" s="41"/>
      <c r="AB837" s="42"/>
    </row>
    <row r="838" spans="1:36" s="9" customFormat="1" ht="30">
      <c r="A838" s="944"/>
      <c r="B838" s="1479"/>
      <c r="C838" s="981" t="s">
        <v>1082</v>
      </c>
      <c r="D838" s="1048">
        <v>106</v>
      </c>
      <c r="E838" s="1049" t="s">
        <v>68</v>
      </c>
      <c r="F838" s="1050">
        <v>17</v>
      </c>
      <c r="G838" s="1048">
        <v>108</v>
      </c>
      <c r="H838" s="1049" t="s">
        <v>68</v>
      </c>
      <c r="I838" s="1050">
        <v>10</v>
      </c>
      <c r="J838" s="1051" t="s">
        <v>70</v>
      </c>
      <c r="K838" s="215">
        <f t="shared" si="97"/>
        <v>33</v>
      </c>
      <c r="L838" s="982"/>
      <c r="M838" s="983"/>
      <c r="N838" s="982"/>
      <c r="O838" s="984"/>
      <c r="P838" s="1054"/>
      <c r="Q838" s="1054"/>
      <c r="R838" s="985">
        <f>K838</f>
        <v>33</v>
      </c>
      <c r="S838" s="1054" t="s">
        <v>8</v>
      </c>
      <c r="T838" s="986" t="s">
        <v>90</v>
      </c>
      <c r="U838" s="1694" t="s">
        <v>1066</v>
      </c>
      <c r="V838" s="1314">
        <f t="shared" si="98"/>
        <v>110</v>
      </c>
      <c r="W838" s="26"/>
      <c r="X838" s="26"/>
      <c r="Y838" s="26"/>
      <c r="Z838" s="27"/>
      <c r="AA838" s="41"/>
      <c r="AB838" s="42"/>
    </row>
    <row r="839" spans="1:36" s="9" customFormat="1" ht="30">
      <c r="A839" s="944"/>
      <c r="B839" s="1479"/>
      <c r="C839" s="981" t="s">
        <v>1082</v>
      </c>
      <c r="D839" s="1048">
        <v>111</v>
      </c>
      <c r="E839" s="1049" t="s">
        <v>68</v>
      </c>
      <c r="F839" s="1050">
        <v>10</v>
      </c>
      <c r="G839" s="1048">
        <v>112</v>
      </c>
      <c r="H839" s="1049" t="s">
        <v>68</v>
      </c>
      <c r="I839" s="1050">
        <v>0</v>
      </c>
      <c r="J839" s="1051" t="s">
        <v>69</v>
      </c>
      <c r="K839" s="215">
        <f t="shared" si="97"/>
        <v>10</v>
      </c>
      <c r="L839" s="982"/>
      <c r="M839" s="983"/>
      <c r="N839" s="982"/>
      <c r="O839" s="984"/>
      <c r="P839" s="1054"/>
      <c r="Q839" s="1054"/>
      <c r="R839" s="985">
        <f>K839</f>
        <v>10</v>
      </c>
      <c r="S839" s="1054" t="s">
        <v>8</v>
      </c>
      <c r="T839" s="986" t="s">
        <v>90</v>
      </c>
      <c r="U839" s="1694" t="s">
        <v>1067</v>
      </c>
      <c r="V839" s="1314">
        <f t="shared" si="98"/>
        <v>110</v>
      </c>
      <c r="W839" s="26"/>
      <c r="X839" s="26"/>
      <c r="Y839" s="26"/>
      <c r="Z839" s="27"/>
      <c r="AA839" s="41"/>
      <c r="AB839" s="42"/>
    </row>
    <row r="840" spans="1:36" s="9" customFormat="1" ht="30">
      <c r="A840" s="944"/>
      <c r="B840" s="1479"/>
      <c r="C840" s="981" t="s">
        <v>1083</v>
      </c>
      <c r="D840" s="1048">
        <v>1</v>
      </c>
      <c r="E840" s="1049" t="s">
        <v>68</v>
      </c>
      <c r="F840" s="1050">
        <v>18</v>
      </c>
      <c r="G840" s="1048">
        <v>2</v>
      </c>
      <c r="H840" s="1049" t="s">
        <v>68</v>
      </c>
      <c r="I840" s="1050">
        <v>14</v>
      </c>
      <c r="J840" s="1051" t="s">
        <v>70</v>
      </c>
      <c r="K840" s="215">
        <f t="shared" ref="K840:K843" si="99">20*(G840-D840)+I840-F840</f>
        <v>16</v>
      </c>
      <c r="L840" s="982"/>
      <c r="M840" s="983"/>
      <c r="N840" s="982"/>
      <c r="O840" s="984"/>
      <c r="P840" s="1054"/>
      <c r="Q840" s="1054"/>
      <c r="R840" s="985">
        <f>K840</f>
        <v>16</v>
      </c>
      <c r="S840" s="1054" t="s">
        <v>8</v>
      </c>
      <c r="T840" s="986" t="s">
        <v>90</v>
      </c>
      <c r="U840" s="1694" t="s">
        <v>1064</v>
      </c>
      <c r="V840" s="1314">
        <f t="shared" si="98"/>
        <v>110</v>
      </c>
      <c r="W840" s="26"/>
      <c r="X840" s="26"/>
      <c r="Y840" s="26"/>
      <c r="Z840" s="27"/>
      <c r="AA840" s="41"/>
      <c r="AB840" s="42"/>
    </row>
    <row r="841" spans="1:36" s="9" customFormat="1" ht="30">
      <c r="A841" s="944"/>
      <c r="B841" s="1479"/>
      <c r="C841" s="981" t="s">
        <v>1083</v>
      </c>
      <c r="D841" s="1048">
        <v>8</v>
      </c>
      <c r="E841" s="1049" t="s">
        <v>68</v>
      </c>
      <c r="F841" s="1050">
        <v>16</v>
      </c>
      <c r="G841" s="1048">
        <v>9</v>
      </c>
      <c r="H841" s="1049" t="s">
        <v>68</v>
      </c>
      <c r="I841" s="1050">
        <v>3</v>
      </c>
      <c r="J841" s="1051" t="s">
        <v>69</v>
      </c>
      <c r="K841" s="215">
        <f t="shared" si="99"/>
        <v>7</v>
      </c>
      <c r="L841" s="982"/>
      <c r="M841" s="983"/>
      <c r="N841" s="982"/>
      <c r="O841" s="984"/>
      <c r="P841" s="1054"/>
      <c r="Q841" s="1054"/>
      <c r="R841" s="985">
        <f t="shared" ref="R841:R843" si="100">K841</f>
        <v>7</v>
      </c>
      <c r="S841" s="1054" t="s">
        <v>8</v>
      </c>
      <c r="T841" s="986" t="s">
        <v>90</v>
      </c>
      <c r="U841" s="1694" t="s">
        <v>1065</v>
      </c>
      <c r="V841" s="1314">
        <f t="shared" si="98"/>
        <v>110</v>
      </c>
      <c r="W841" s="26"/>
      <c r="X841" s="26"/>
      <c r="Y841" s="26"/>
      <c r="Z841" s="27"/>
      <c r="AA841" s="41"/>
      <c r="AB841" s="42"/>
    </row>
    <row r="842" spans="1:36" s="9" customFormat="1" ht="30">
      <c r="A842" s="944"/>
      <c r="B842" s="1479"/>
      <c r="C842" s="981" t="s">
        <v>1083</v>
      </c>
      <c r="D842" s="1048">
        <v>13</v>
      </c>
      <c r="E842" s="1049" t="s">
        <v>68</v>
      </c>
      <c r="F842" s="1050">
        <v>10</v>
      </c>
      <c r="G842" s="1048">
        <v>13</v>
      </c>
      <c r="H842" s="1049" t="s">
        <v>68</v>
      </c>
      <c r="I842" s="1050">
        <v>18</v>
      </c>
      <c r="J842" s="1051" t="s">
        <v>70</v>
      </c>
      <c r="K842" s="215">
        <f t="shared" si="99"/>
        <v>8</v>
      </c>
      <c r="L842" s="982"/>
      <c r="M842" s="983"/>
      <c r="N842" s="982"/>
      <c r="O842" s="984"/>
      <c r="P842" s="1054"/>
      <c r="Q842" s="1054"/>
      <c r="R842" s="985">
        <f t="shared" si="100"/>
        <v>8</v>
      </c>
      <c r="S842" s="1054" t="s">
        <v>8</v>
      </c>
      <c r="T842" s="986" t="s">
        <v>90</v>
      </c>
      <c r="U842" s="1694" t="s">
        <v>1065</v>
      </c>
      <c r="V842" s="1314">
        <f t="shared" si="98"/>
        <v>110</v>
      </c>
      <c r="W842" s="26"/>
      <c r="X842" s="26"/>
      <c r="Y842" s="26"/>
      <c r="Z842" s="27"/>
      <c r="AA842" s="41"/>
      <c r="AB842" s="42"/>
    </row>
    <row r="843" spans="1:36" s="9" customFormat="1" ht="30">
      <c r="A843" s="944"/>
      <c r="B843" s="1479"/>
      <c r="C843" s="981" t="s">
        <v>1083</v>
      </c>
      <c r="D843" s="1048">
        <v>14</v>
      </c>
      <c r="E843" s="1049" t="s">
        <v>68</v>
      </c>
      <c r="F843" s="1050">
        <v>15</v>
      </c>
      <c r="G843" s="1048">
        <v>15</v>
      </c>
      <c r="H843" s="1049" t="s">
        <v>68</v>
      </c>
      <c r="I843" s="1050">
        <v>17</v>
      </c>
      <c r="J843" s="1051" t="s">
        <v>69</v>
      </c>
      <c r="K843" s="215">
        <f t="shared" si="99"/>
        <v>22</v>
      </c>
      <c r="L843" s="982"/>
      <c r="M843" s="983"/>
      <c r="N843" s="982"/>
      <c r="O843" s="984"/>
      <c r="P843" s="1054"/>
      <c r="Q843" s="1054"/>
      <c r="R843" s="985">
        <f t="shared" si="100"/>
        <v>22</v>
      </c>
      <c r="S843" s="1054" t="s">
        <v>8</v>
      </c>
      <c r="T843" s="986" t="s">
        <v>90</v>
      </c>
      <c r="U843" s="1694" t="s">
        <v>1065</v>
      </c>
      <c r="V843" s="1314">
        <f t="shared" si="98"/>
        <v>110</v>
      </c>
      <c r="W843" s="26"/>
      <c r="X843" s="26"/>
      <c r="Y843" s="26"/>
      <c r="Z843" s="27"/>
      <c r="AA843" s="41"/>
      <c r="AB843" s="42"/>
    </row>
    <row r="844" spans="1:36" s="724" customFormat="1" ht="15">
      <c r="A844" s="717"/>
      <c r="B844" s="1065"/>
      <c r="C844" s="896"/>
      <c r="D844" s="926"/>
      <c r="E844" s="898"/>
      <c r="F844" s="927"/>
      <c r="G844" s="926"/>
      <c r="H844" s="898"/>
      <c r="I844" s="927"/>
      <c r="J844" s="913"/>
      <c r="K844" s="945"/>
      <c r="L844" s="945"/>
      <c r="M844" s="946"/>
      <c r="N844" s="945"/>
      <c r="O844" s="953"/>
      <c r="P844" s="945"/>
      <c r="Q844" s="1046"/>
      <c r="R844" s="903"/>
      <c r="S844" s="949"/>
      <c r="T844" s="950"/>
      <c r="U844" s="158"/>
      <c r="V844" s="1314">
        <f t="shared" ref="V844" si="101">V845</f>
        <v>110</v>
      </c>
      <c r="W844" s="26"/>
      <c r="X844" s="26"/>
      <c r="Y844" s="720"/>
      <c r="Z844" s="721"/>
      <c r="AA844" s="722"/>
      <c r="AB844" s="723"/>
    </row>
    <row r="845" spans="1:36" s="8" customFormat="1" ht="15.75" customHeight="1">
      <c r="A845" s="516"/>
      <c r="B845" s="877"/>
      <c r="C845" s="113"/>
      <c r="D845" s="2436" t="s">
        <v>18</v>
      </c>
      <c r="E845" s="2437"/>
      <c r="F845" s="2437"/>
      <c r="G845" s="2437"/>
      <c r="H845" s="2437"/>
      <c r="I845" s="2438"/>
      <c r="J845" s="2439">
        <f>VLOOKUP(A847,'12 - FINANCEIRA'!_xlnm.Print_Area,6,FALSE)</f>
        <v>110</v>
      </c>
      <c r="K845" s="2440"/>
      <c r="L845" s="910" t="str">
        <f>VLOOKUP(A847,'12 - FINANCEIRA'!_xlnm.Print_Area,4,FALSE)</f>
        <v>m</v>
      </c>
      <c r="M845" s="2441" t="s">
        <v>19</v>
      </c>
      <c r="N845" s="2442"/>
      <c r="O845" s="2442"/>
      <c r="P845" s="2442"/>
      <c r="Q845" s="2443"/>
      <c r="R845" s="904">
        <f>SUM(R837:R844)</f>
        <v>110</v>
      </c>
      <c r="S845" s="905" t="str">
        <f>L845</f>
        <v>m</v>
      </c>
      <c r="T845" s="1777"/>
      <c r="U845" s="1778"/>
      <c r="V845" s="1314">
        <f>V846</f>
        <v>110</v>
      </c>
      <c r="AB845" s="15"/>
    </row>
    <row r="846" spans="1:36" s="8" customFormat="1" ht="15.75" customHeight="1">
      <c r="A846" s="516"/>
      <c r="B846" s="877"/>
      <c r="C846" s="681"/>
      <c r="D846" s="2444" t="s">
        <v>20</v>
      </c>
      <c r="E846" s="2445"/>
      <c r="F846" s="2445"/>
      <c r="G846" s="2445"/>
      <c r="H846" s="2445"/>
      <c r="I846" s="2446"/>
      <c r="J846" s="2450">
        <f>R845/J845</f>
        <v>1</v>
      </c>
      <c r="K846" s="2451"/>
      <c r="L846" s="2454"/>
      <c r="M846" s="2441" t="s">
        <v>21</v>
      </c>
      <c r="N846" s="2442"/>
      <c r="O846" s="2442"/>
      <c r="P846" s="2442"/>
      <c r="Q846" s="2443"/>
      <c r="R846" s="878">
        <f>VLOOKUP(A847,'12 - FINANCEIRA'!_xlnm.Print_Area,8,FALSE)</f>
        <v>0</v>
      </c>
      <c r="S846" s="879" t="str">
        <f>L845</f>
        <v>m</v>
      </c>
      <c r="T846" s="680"/>
      <c r="U846" s="663"/>
      <c r="V846" s="1314">
        <f>V847</f>
        <v>110</v>
      </c>
      <c r="AB846" s="15"/>
    </row>
    <row r="847" spans="1:36" s="8" customFormat="1" ht="15.75" customHeight="1">
      <c r="A847" s="516" t="s">
        <v>970</v>
      </c>
      <c r="B847" s="877"/>
      <c r="C847" s="113"/>
      <c r="D847" s="2475"/>
      <c r="E847" s="2460"/>
      <c r="F847" s="2460"/>
      <c r="G847" s="2460"/>
      <c r="H847" s="2460"/>
      <c r="I847" s="2476"/>
      <c r="J847" s="2477"/>
      <c r="K847" s="2478"/>
      <c r="L847" s="2470"/>
      <c r="M847" s="2441" t="s">
        <v>22</v>
      </c>
      <c r="N847" s="2442"/>
      <c r="O847" s="2442"/>
      <c r="P847" s="2442"/>
      <c r="Q847" s="2443"/>
      <c r="R847" s="521">
        <f>R845-R846</f>
        <v>110</v>
      </c>
      <c r="S847" s="522" t="str">
        <f>L845</f>
        <v>m</v>
      </c>
      <c r="T847" s="680"/>
      <c r="U847" s="663"/>
      <c r="V847" s="1314">
        <f>R847</f>
        <v>110</v>
      </c>
      <c r="AB847" s="15"/>
    </row>
    <row r="848" spans="1:36" s="8" customFormat="1" ht="15.75">
      <c r="A848" s="516"/>
      <c r="B848" s="523"/>
      <c r="C848" s="524"/>
      <c r="D848" s="526"/>
      <c r="E848" s="526"/>
      <c r="F848" s="526"/>
      <c r="G848" s="525"/>
      <c r="H848" s="525"/>
      <c r="I848" s="525"/>
      <c r="J848" s="527"/>
      <c r="K848" s="528"/>
      <c r="L848" s="529"/>
      <c r="M848" s="530"/>
      <c r="N848" s="530"/>
      <c r="O848" s="530"/>
      <c r="P848" s="530"/>
      <c r="Q848" s="530"/>
      <c r="R848" s="531"/>
      <c r="S848" s="532"/>
      <c r="T848" s="533"/>
      <c r="U848" s="534"/>
      <c r="V848" s="1658">
        <f>SUM(V835:V847)</f>
        <v>1430</v>
      </c>
      <c r="AB848" s="15"/>
    </row>
    <row r="849" spans="1:36" s="497" customFormat="1" ht="15.75" customHeight="1">
      <c r="A849" s="495"/>
      <c r="B849" s="2423" t="str">
        <f>VLOOKUP(A872,'12 - FINANCEIRA'!_xlnm.Print_Area,1,FALSE)</f>
        <v>3.2.13</v>
      </c>
      <c r="C849" s="2421" t="str">
        <f>VLOOKUP(A872,'12 - FINANCEIRA'!_xlnm.Print_Area,3,FALSE)</f>
        <v>Meio fio de concreto pré-moldado (12 x 30 x 15) cm, inclusive caiação e transporte do meio fio</v>
      </c>
      <c r="D849" s="2479" t="s">
        <v>97</v>
      </c>
      <c r="E849" s="2480"/>
      <c r="F849" s="2480"/>
      <c r="G849" s="2480"/>
      <c r="H849" s="2480"/>
      <c r="I849" s="2481"/>
      <c r="J849" s="2416" t="s">
        <v>98</v>
      </c>
      <c r="K849" s="2416" t="s">
        <v>102</v>
      </c>
      <c r="L849" s="2416" t="s">
        <v>103</v>
      </c>
      <c r="M849" s="2416" t="s">
        <v>228</v>
      </c>
      <c r="N849" s="2416" t="s">
        <v>229</v>
      </c>
      <c r="O849" s="2416" t="s">
        <v>107</v>
      </c>
      <c r="P849" s="2416" t="s">
        <v>717</v>
      </c>
      <c r="Q849" s="2416" t="s">
        <v>16</v>
      </c>
      <c r="R849" s="2425" t="s">
        <v>2</v>
      </c>
      <c r="S849" s="2416" t="s">
        <v>99</v>
      </c>
      <c r="T849" s="2416" t="s">
        <v>17</v>
      </c>
      <c r="U849" s="2428" t="s">
        <v>362</v>
      </c>
      <c r="V849" s="1314">
        <f>V850</f>
        <v>257.89999999999998</v>
      </c>
      <c r="W849" s="26"/>
      <c r="X849" s="26"/>
      <c r="Y849" s="26"/>
      <c r="Z849" s="27"/>
      <c r="AA849" s="9"/>
      <c r="AB849" s="9"/>
      <c r="AC849" s="9"/>
      <c r="AD849" s="9"/>
      <c r="AE849" s="9"/>
      <c r="AF849" s="9"/>
      <c r="AG849" s="9"/>
      <c r="AH849" s="9"/>
      <c r="AI849" s="9"/>
      <c r="AJ849" s="9"/>
    </row>
    <row r="850" spans="1:36" s="497" customFormat="1" ht="15.75">
      <c r="A850" s="495"/>
      <c r="B850" s="2424" t="e">
        <f>LEFT(#REF!,5)</f>
        <v>#REF!</v>
      </c>
      <c r="C850" s="2422" t="e">
        <f>VLOOKUP(LEFT(#REF!,5),'12 - FINANCEIRA'!_xlnm.Print_Area,2,FALSE)</f>
        <v>#REF!</v>
      </c>
      <c r="D850" s="2430" t="s">
        <v>14</v>
      </c>
      <c r="E850" s="2431"/>
      <c r="F850" s="2432"/>
      <c r="G850" s="2433" t="s">
        <v>15</v>
      </c>
      <c r="H850" s="2434"/>
      <c r="I850" s="2435"/>
      <c r="J850" s="2417"/>
      <c r="K850" s="2417"/>
      <c r="L850" s="2417"/>
      <c r="M850" s="2417"/>
      <c r="N850" s="2417"/>
      <c r="O850" s="2417"/>
      <c r="P850" s="2417"/>
      <c r="Q850" s="2417"/>
      <c r="R850" s="2473"/>
      <c r="S850" s="2417"/>
      <c r="T850" s="2417"/>
      <c r="U850" s="2474"/>
      <c r="V850" s="1314">
        <f>V851</f>
        <v>257.89999999999998</v>
      </c>
      <c r="W850" s="26"/>
      <c r="X850" s="26"/>
      <c r="Y850" s="26"/>
      <c r="Z850" s="27"/>
      <c r="AA850" s="9"/>
      <c r="AB850" s="9"/>
      <c r="AC850" s="9"/>
      <c r="AD850" s="9"/>
      <c r="AE850" s="9"/>
      <c r="AF850" s="9"/>
      <c r="AG850" s="9"/>
      <c r="AH850" s="9"/>
      <c r="AI850" s="9"/>
      <c r="AJ850" s="9"/>
    </row>
    <row r="851" spans="1:36" s="507" customFormat="1" ht="30">
      <c r="A851" s="499"/>
      <c r="B851" s="1776"/>
      <c r="C851" s="1897" t="s">
        <v>1085</v>
      </c>
      <c r="D851" s="962">
        <v>0</v>
      </c>
      <c r="E851" s="963" t="s">
        <v>68</v>
      </c>
      <c r="F851" s="964">
        <v>0</v>
      </c>
      <c r="G851" s="962"/>
      <c r="H851" s="963"/>
      <c r="I851" s="964"/>
      <c r="J851" s="77" t="s">
        <v>105</v>
      </c>
      <c r="K851" s="215">
        <f t="shared" ref="K851:K868" si="102">20*(G851-D851)+I851-F851</f>
        <v>0</v>
      </c>
      <c r="L851" s="1772"/>
      <c r="M851" s="1773"/>
      <c r="N851" s="1774"/>
      <c r="O851" s="1898"/>
      <c r="P851" s="1899"/>
      <c r="Q851" s="1900"/>
      <c r="R851" s="1901">
        <v>8</v>
      </c>
      <c r="S851" s="1775" t="s">
        <v>8</v>
      </c>
      <c r="T851" s="1902" t="s">
        <v>90</v>
      </c>
      <c r="U851" s="956" t="s">
        <v>1064</v>
      </c>
      <c r="V851" s="1760">
        <f>V852</f>
        <v>257.89999999999998</v>
      </c>
      <c r="W851" s="503"/>
      <c r="X851" s="503" t="s">
        <v>1064</v>
      </c>
      <c r="Y851" s="503"/>
      <c r="Z851" s="504"/>
      <c r="AA851" s="505"/>
      <c r="AB851" s="506"/>
    </row>
    <row r="852" spans="1:36" s="507" customFormat="1" ht="30">
      <c r="A852" s="499"/>
      <c r="B852" s="500"/>
      <c r="C852" s="76" t="s">
        <v>1085</v>
      </c>
      <c r="D852" s="962">
        <v>0</v>
      </c>
      <c r="E852" s="963" t="s">
        <v>68</v>
      </c>
      <c r="F852" s="964">
        <v>0</v>
      </c>
      <c r="G852" s="962">
        <v>0</v>
      </c>
      <c r="H852" s="963" t="s">
        <v>68</v>
      </c>
      <c r="I852" s="964">
        <v>6.6</v>
      </c>
      <c r="J852" s="77" t="s">
        <v>1084</v>
      </c>
      <c r="K852" s="215">
        <f t="shared" si="102"/>
        <v>6.6</v>
      </c>
      <c r="L852" s="215"/>
      <c r="M852" s="969"/>
      <c r="N852" s="970"/>
      <c r="O852" s="224"/>
      <c r="P852" s="215">
        <v>2</v>
      </c>
      <c r="Q852" s="971"/>
      <c r="R852" s="1411">
        <f>K852*P852</f>
        <v>13.2</v>
      </c>
      <c r="S852" s="1485" t="s">
        <v>8</v>
      </c>
      <c r="T852" s="972" t="s">
        <v>90</v>
      </c>
      <c r="U852" s="956" t="s">
        <v>1064</v>
      </c>
      <c r="V852" s="1760">
        <f>V853</f>
        <v>257.89999999999998</v>
      </c>
      <c r="W852" s="503"/>
      <c r="X852" s="503" t="s">
        <v>1072</v>
      </c>
      <c r="Y852" s="503"/>
      <c r="Z852" s="504"/>
      <c r="AA852" s="505"/>
      <c r="AB852" s="506"/>
    </row>
    <row r="853" spans="1:36" s="507" customFormat="1" ht="30">
      <c r="A853" s="499"/>
      <c r="B853" s="500"/>
      <c r="C853" s="76" t="s">
        <v>1074</v>
      </c>
      <c r="D853" s="962">
        <v>0</v>
      </c>
      <c r="E853" s="963" t="s">
        <v>68</v>
      </c>
      <c r="F853" s="964">
        <v>0</v>
      </c>
      <c r="G853" s="962">
        <v>1</v>
      </c>
      <c r="H853" s="963" t="s">
        <v>68</v>
      </c>
      <c r="I853" s="964">
        <v>4.4000000000000004</v>
      </c>
      <c r="J853" s="77" t="s">
        <v>70</v>
      </c>
      <c r="K853" s="215">
        <f t="shared" si="102"/>
        <v>24.4</v>
      </c>
      <c r="L853" s="215"/>
      <c r="M853" s="969"/>
      <c r="N853" s="970"/>
      <c r="O853" s="224"/>
      <c r="P853" s="215"/>
      <c r="Q853" s="1485"/>
      <c r="R853" s="1411">
        <f t="shared" ref="R853:R868" si="103">K853</f>
        <v>24.4</v>
      </c>
      <c r="S853" s="1485" t="s">
        <v>8</v>
      </c>
      <c r="T853" s="972" t="s">
        <v>90</v>
      </c>
      <c r="U853" s="956" t="s">
        <v>1064</v>
      </c>
      <c r="V853" s="1760">
        <f>V869</f>
        <v>257.89999999999998</v>
      </c>
      <c r="W853" s="503"/>
      <c r="X853" s="503" t="s">
        <v>1065</v>
      </c>
      <c r="Y853" s="503"/>
      <c r="Z853" s="504"/>
      <c r="AA853" s="505"/>
      <c r="AB853" s="506"/>
    </row>
    <row r="854" spans="1:36" s="507" customFormat="1" ht="30">
      <c r="A854" s="499"/>
      <c r="B854" s="1372"/>
      <c r="C854" s="76" t="s">
        <v>1074</v>
      </c>
      <c r="D854" s="962">
        <v>1</v>
      </c>
      <c r="E854" s="963" t="s">
        <v>68</v>
      </c>
      <c r="F854" s="964">
        <v>15</v>
      </c>
      <c r="G854" s="962">
        <v>1</v>
      </c>
      <c r="H854" s="963" t="s">
        <v>68</v>
      </c>
      <c r="I854" s="964">
        <v>18</v>
      </c>
      <c r="J854" s="77" t="s">
        <v>69</v>
      </c>
      <c r="K854" s="215">
        <f t="shared" ref="K854" si="104">20*(G854-D854)+I854-F854</f>
        <v>3</v>
      </c>
      <c r="L854" s="215"/>
      <c r="M854" s="969"/>
      <c r="N854" s="970"/>
      <c r="O854" s="224"/>
      <c r="P854" s="215"/>
      <c r="Q854" s="1485"/>
      <c r="R854" s="1411">
        <f t="shared" ref="R854" si="105">K854</f>
        <v>3</v>
      </c>
      <c r="S854" s="1419" t="s">
        <v>8</v>
      </c>
      <c r="T854" s="1364" t="s">
        <v>90</v>
      </c>
      <c r="U854" s="1620" t="s">
        <v>1064</v>
      </c>
      <c r="V854" s="1760">
        <f t="shared" ref="V854:V868" si="106">V855</f>
        <v>257.89999999999998</v>
      </c>
      <c r="W854" s="503"/>
      <c r="X854" s="503"/>
      <c r="Y854" s="503"/>
      <c r="Z854" s="504"/>
      <c r="AA854" s="505"/>
      <c r="AB854" s="506"/>
    </row>
    <row r="855" spans="1:36" s="507" customFormat="1" ht="30">
      <c r="A855" s="499"/>
      <c r="B855" s="1372"/>
      <c r="C855" s="76" t="s">
        <v>1085</v>
      </c>
      <c r="D855" s="1351">
        <v>2</v>
      </c>
      <c r="E855" s="1352" t="s">
        <v>68</v>
      </c>
      <c r="F855" s="1353">
        <v>14</v>
      </c>
      <c r="G855" s="1351">
        <v>3</v>
      </c>
      <c r="H855" s="1352" t="s">
        <v>68</v>
      </c>
      <c r="I855" s="1353">
        <v>4.3</v>
      </c>
      <c r="J855" s="1356" t="s">
        <v>70</v>
      </c>
      <c r="K855" s="215">
        <f t="shared" si="102"/>
        <v>10.3</v>
      </c>
      <c r="L855" s="1358"/>
      <c r="M855" s="1359"/>
      <c r="N855" s="1903"/>
      <c r="O855" s="1360"/>
      <c r="P855" s="1358"/>
      <c r="Q855" s="1617"/>
      <c r="R855" s="1411">
        <f t="shared" si="103"/>
        <v>10.3</v>
      </c>
      <c r="S855" s="1419" t="s">
        <v>8</v>
      </c>
      <c r="T855" s="1364" t="s">
        <v>90</v>
      </c>
      <c r="U855" s="1620" t="s">
        <v>1064</v>
      </c>
      <c r="V855" s="1760">
        <f t="shared" si="106"/>
        <v>257.89999999999998</v>
      </c>
      <c r="W855" s="503"/>
      <c r="X855" s="503"/>
      <c r="Y855" s="503"/>
      <c r="Z855" s="504"/>
      <c r="AA855" s="505"/>
      <c r="AB855" s="506"/>
    </row>
    <row r="856" spans="1:36" s="507" customFormat="1" ht="30">
      <c r="A856" s="499"/>
      <c r="B856" s="1372"/>
      <c r="C856" s="76" t="s">
        <v>1085</v>
      </c>
      <c r="D856" s="1351">
        <v>2</v>
      </c>
      <c r="E856" s="1352" t="s">
        <v>68</v>
      </c>
      <c r="F856" s="1353">
        <v>13</v>
      </c>
      <c r="G856" s="1351">
        <v>3</v>
      </c>
      <c r="H856" s="1352" t="s">
        <v>68</v>
      </c>
      <c r="I856" s="1353">
        <v>4.7</v>
      </c>
      <c r="J856" s="1356" t="s">
        <v>69</v>
      </c>
      <c r="K856" s="215">
        <f t="shared" si="102"/>
        <v>11.7</v>
      </c>
      <c r="L856" s="1358"/>
      <c r="M856" s="1359"/>
      <c r="N856" s="1903"/>
      <c r="O856" s="1360"/>
      <c r="P856" s="1358"/>
      <c r="Q856" s="1617"/>
      <c r="R856" s="1411">
        <f t="shared" si="103"/>
        <v>11.7</v>
      </c>
      <c r="S856" s="1419" t="s">
        <v>8</v>
      </c>
      <c r="T856" s="1364" t="s">
        <v>90</v>
      </c>
      <c r="U856" s="1620" t="s">
        <v>1064</v>
      </c>
      <c r="V856" s="1760">
        <f t="shared" si="106"/>
        <v>257.89999999999998</v>
      </c>
      <c r="W856" s="503"/>
      <c r="X856" s="503"/>
      <c r="Y856" s="503"/>
      <c r="Z856" s="504"/>
      <c r="AA856" s="505"/>
      <c r="AB856" s="506"/>
    </row>
    <row r="857" spans="1:36" s="507" customFormat="1" ht="30">
      <c r="A857" s="499"/>
      <c r="B857" s="1372"/>
      <c r="C857" s="76" t="s">
        <v>1074</v>
      </c>
      <c r="D857" s="1351">
        <v>4</v>
      </c>
      <c r="E857" s="1352" t="s">
        <v>68</v>
      </c>
      <c r="F857" s="1353">
        <v>5</v>
      </c>
      <c r="G857" s="1351">
        <v>5</v>
      </c>
      <c r="H857" s="1352" t="s">
        <v>68</v>
      </c>
      <c r="I857" s="1353">
        <v>2</v>
      </c>
      <c r="J857" s="1356" t="s">
        <v>70</v>
      </c>
      <c r="K857" s="215">
        <f t="shared" si="102"/>
        <v>17</v>
      </c>
      <c r="L857" s="1358"/>
      <c r="M857" s="1359"/>
      <c r="N857" s="1903"/>
      <c r="O857" s="1360"/>
      <c r="P857" s="1358"/>
      <c r="Q857" s="1617"/>
      <c r="R857" s="1411">
        <f t="shared" si="103"/>
        <v>17</v>
      </c>
      <c r="S857" s="1419" t="s">
        <v>8</v>
      </c>
      <c r="T857" s="1364" t="s">
        <v>90</v>
      </c>
      <c r="U857" s="1620" t="s">
        <v>1064</v>
      </c>
      <c r="V857" s="1760">
        <f t="shared" si="106"/>
        <v>257.89999999999998</v>
      </c>
      <c r="W857" s="503"/>
      <c r="X857" s="503"/>
      <c r="Y857" s="503"/>
      <c r="Z857" s="504"/>
      <c r="AA857" s="505"/>
      <c r="AB857" s="506"/>
    </row>
    <row r="858" spans="1:36" s="507" customFormat="1" ht="30">
      <c r="A858" s="499"/>
      <c r="B858" s="1372"/>
      <c r="C858" s="76" t="s">
        <v>1074</v>
      </c>
      <c r="D858" s="1351">
        <v>4</v>
      </c>
      <c r="E858" s="1352" t="s">
        <v>68</v>
      </c>
      <c r="F858" s="1353">
        <v>8.3000000000000007</v>
      </c>
      <c r="G858" s="1351">
        <v>5</v>
      </c>
      <c r="H858" s="1352" t="s">
        <v>68</v>
      </c>
      <c r="I858" s="1353">
        <v>0</v>
      </c>
      <c r="J858" s="1356" t="s">
        <v>69</v>
      </c>
      <c r="K858" s="215">
        <f t="shared" si="102"/>
        <v>11.7</v>
      </c>
      <c r="L858" s="1358"/>
      <c r="M858" s="1359"/>
      <c r="N858" s="1903"/>
      <c r="O858" s="1360"/>
      <c r="P858" s="1358"/>
      <c r="Q858" s="1617"/>
      <c r="R858" s="1411">
        <f t="shared" si="103"/>
        <v>11.7</v>
      </c>
      <c r="S858" s="1419" t="s">
        <v>8</v>
      </c>
      <c r="T858" s="1364" t="s">
        <v>90</v>
      </c>
      <c r="U858" s="1620" t="s">
        <v>1064</v>
      </c>
      <c r="V858" s="1760">
        <f t="shared" si="106"/>
        <v>257.89999999999998</v>
      </c>
      <c r="W858" s="503"/>
      <c r="X858" s="503"/>
      <c r="Y858" s="503"/>
      <c r="Z858" s="504"/>
      <c r="AA858" s="505"/>
      <c r="AB858" s="506"/>
    </row>
    <row r="859" spans="1:36" s="507" customFormat="1" ht="30">
      <c r="A859" s="499"/>
      <c r="B859" s="1372"/>
      <c r="C859" s="76" t="s">
        <v>1085</v>
      </c>
      <c r="D859" s="1351">
        <v>5</v>
      </c>
      <c r="E859" s="1352" t="s">
        <v>68</v>
      </c>
      <c r="F859" s="1353">
        <v>12.7</v>
      </c>
      <c r="G859" s="1351">
        <v>6</v>
      </c>
      <c r="H859" s="1352" t="s">
        <v>68</v>
      </c>
      <c r="I859" s="1353">
        <v>0</v>
      </c>
      <c r="J859" s="77" t="s">
        <v>1084</v>
      </c>
      <c r="K859" s="215">
        <f t="shared" si="102"/>
        <v>7.3000000000000007</v>
      </c>
      <c r="L859" s="1358"/>
      <c r="M859" s="1359"/>
      <c r="N859" s="1903"/>
      <c r="O859" s="1360"/>
      <c r="P859" s="1358">
        <v>2</v>
      </c>
      <c r="Q859" s="1617"/>
      <c r="R859" s="1411">
        <f>K859*P859</f>
        <v>14.600000000000001</v>
      </c>
      <c r="S859" s="1419" t="s">
        <v>8</v>
      </c>
      <c r="T859" s="1364" t="s">
        <v>90</v>
      </c>
      <c r="U859" s="1620" t="s">
        <v>1064</v>
      </c>
      <c r="V859" s="1760">
        <f t="shared" si="106"/>
        <v>257.89999999999998</v>
      </c>
      <c r="W859" s="503"/>
      <c r="X859" s="503"/>
      <c r="Y859" s="503"/>
      <c r="Z859" s="504"/>
      <c r="AA859" s="505"/>
      <c r="AB859" s="506"/>
    </row>
    <row r="860" spans="1:36" s="507" customFormat="1" ht="30">
      <c r="A860" s="499"/>
      <c r="B860" s="1372"/>
      <c r="C860" s="76" t="s">
        <v>1074</v>
      </c>
      <c r="D860" s="1351">
        <v>6</v>
      </c>
      <c r="E860" s="1352" t="s">
        <v>68</v>
      </c>
      <c r="F860" s="1353">
        <v>0</v>
      </c>
      <c r="G860" s="1351">
        <v>6</v>
      </c>
      <c r="H860" s="1352" t="s">
        <v>68</v>
      </c>
      <c r="I860" s="1353">
        <v>5</v>
      </c>
      <c r="J860" s="1356" t="s">
        <v>70</v>
      </c>
      <c r="K860" s="215">
        <f t="shared" si="102"/>
        <v>5</v>
      </c>
      <c r="L860" s="1358"/>
      <c r="M860" s="1359"/>
      <c r="N860" s="1903"/>
      <c r="O860" s="1360"/>
      <c r="P860" s="1358"/>
      <c r="Q860" s="1617"/>
      <c r="R860" s="1411">
        <f t="shared" si="103"/>
        <v>5</v>
      </c>
      <c r="S860" s="1419" t="s">
        <v>8</v>
      </c>
      <c r="T860" s="1364" t="s">
        <v>90</v>
      </c>
      <c r="U860" s="1620" t="s">
        <v>1064</v>
      </c>
      <c r="V860" s="1760">
        <f t="shared" si="106"/>
        <v>257.89999999999998</v>
      </c>
      <c r="W860" s="503"/>
      <c r="X860" s="503"/>
      <c r="Y860" s="503"/>
      <c r="Z860" s="504"/>
      <c r="AA860" s="505"/>
      <c r="AB860" s="506"/>
    </row>
    <row r="861" spans="1:36" s="507" customFormat="1" ht="30">
      <c r="A861" s="499"/>
      <c r="B861" s="1372"/>
      <c r="C861" s="76" t="s">
        <v>1074</v>
      </c>
      <c r="D861" s="1351">
        <v>6</v>
      </c>
      <c r="E861" s="1352" t="s">
        <v>68</v>
      </c>
      <c r="F861" s="1353">
        <v>15</v>
      </c>
      <c r="G861" s="1351">
        <v>7</v>
      </c>
      <c r="H861" s="1352" t="s">
        <v>68</v>
      </c>
      <c r="I861" s="1353">
        <v>12</v>
      </c>
      <c r="J861" s="1356" t="s">
        <v>70</v>
      </c>
      <c r="K861" s="215">
        <f t="shared" si="102"/>
        <v>17</v>
      </c>
      <c r="L861" s="1358"/>
      <c r="M861" s="1359"/>
      <c r="N861" s="1903"/>
      <c r="O861" s="1360"/>
      <c r="P861" s="1358"/>
      <c r="Q861" s="1617"/>
      <c r="R861" s="1411">
        <f t="shared" si="103"/>
        <v>17</v>
      </c>
      <c r="S861" s="1419" t="s">
        <v>8</v>
      </c>
      <c r="T861" s="1364" t="s">
        <v>90</v>
      </c>
      <c r="U861" s="1620" t="s">
        <v>1065</v>
      </c>
      <c r="V861" s="1760">
        <f t="shared" si="106"/>
        <v>257.89999999999998</v>
      </c>
      <c r="W861" s="503"/>
      <c r="X861" s="503"/>
      <c r="Y861" s="503"/>
      <c r="Z861" s="504"/>
      <c r="AA861" s="505"/>
      <c r="AB861" s="506"/>
    </row>
    <row r="862" spans="1:36" s="507" customFormat="1" ht="30">
      <c r="A862" s="499"/>
      <c r="B862" s="1372"/>
      <c r="C862" s="76" t="s">
        <v>1074</v>
      </c>
      <c r="D862" s="1351">
        <v>8</v>
      </c>
      <c r="E862" s="1352" t="s">
        <v>68</v>
      </c>
      <c r="F862" s="1353">
        <v>16</v>
      </c>
      <c r="G862" s="1351">
        <v>9</v>
      </c>
      <c r="H862" s="1352" t="s">
        <v>68</v>
      </c>
      <c r="I862" s="1353">
        <v>15</v>
      </c>
      <c r="J862" s="1356" t="s">
        <v>70</v>
      </c>
      <c r="K862" s="215">
        <f t="shared" si="102"/>
        <v>19</v>
      </c>
      <c r="L862" s="1358"/>
      <c r="M862" s="1359"/>
      <c r="N862" s="1903"/>
      <c r="O862" s="1360"/>
      <c r="P862" s="1358"/>
      <c r="Q862" s="1617"/>
      <c r="R862" s="1411">
        <f t="shared" si="103"/>
        <v>19</v>
      </c>
      <c r="S862" s="1419" t="s">
        <v>8</v>
      </c>
      <c r="T862" s="1364" t="s">
        <v>90</v>
      </c>
      <c r="U862" s="1620" t="s">
        <v>1065</v>
      </c>
      <c r="V862" s="1760">
        <f t="shared" si="106"/>
        <v>257.89999999999998</v>
      </c>
      <c r="W862" s="503"/>
      <c r="X862" s="503"/>
      <c r="Y862" s="503"/>
      <c r="Z862" s="504"/>
      <c r="AA862" s="505"/>
      <c r="AB862" s="506"/>
    </row>
    <row r="863" spans="1:36" s="507" customFormat="1" ht="30">
      <c r="A863" s="499"/>
      <c r="B863" s="1372"/>
      <c r="C863" s="76" t="s">
        <v>1074</v>
      </c>
      <c r="D863" s="1351">
        <v>10</v>
      </c>
      <c r="E863" s="1352" t="s">
        <v>68</v>
      </c>
      <c r="F863" s="1353">
        <v>6</v>
      </c>
      <c r="G863" s="1351">
        <v>10</v>
      </c>
      <c r="H863" s="1352" t="s">
        <v>68</v>
      </c>
      <c r="I863" s="1353">
        <v>14</v>
      </c>
      <c r="J863" s="1356" t="s">
        <v>70</v>
      </c>
      <c r="K863" s="215">
        <f t="shared" si="102"/>
        <v>8</v>
      </c>
      <c r="L863" s="1358"/>
      <c r="M863" s="1359"/>
      <c r="N863" s="1903"/>
      <c r="O863" s="1360"/>
      <c r="P863" s="1358"/>
      <c r="Q863" s="1617"/>
      <c r="R863" s="1411">
        <f t="shared" si="103"/>
        <v>8</v>
      </c>
      <c r="S863" s="1419" t="s">
        <v>8</v>
      </c>
      <c r="T863" s="1364" t="s">
        <v>90</v>
      </c>
      <c r="U863" s="1620" t="s">
        <v>1065</v>
      </c>
      <c r="V863" s="1760">
        <f t="shared" si="106"/>
        <v>257.89999999999998</v>
      </c>
      <c r="W863" s="503"/>
      <c r="X863" s="503"/>
      <c r="Y863" s="503"/>
      <c r="Z863" s="504"/>
      <c r="AA863" s="505"/>
      <c r="AB863" s="506"/>
    </row>
    <row r="864" spans="1:36" s="507" customFormat="1" ht="30">
      <c r="A864" s="499"/>
      <c r="B864" s="1372"/>
      <c r="C864" s="76" t="s">
        <v>1074</v>
      </c>
      <c r="D864" s="1351">
        <v>11</v>
      </c>
      <c r="E864" s="1352" t="s">
        <v>68</v>
      </c>
      <c r="F864" s="1353">
        <v>13</v>
      </c>
      <c r="G864" s="1351">
        <v>12</v>
      </c>
      <c r="H864" s="1352" t="s">
        <v>68</v>
      </c>
      <c r="I864" s="1353">
        <v>2</v>
      </c>
      <c r="J864" s="1356" t="s">
        <v>70</v>
      </c>
      <c r="K864" s="215">
        <f t="shared" si="102"/>
        <v>9</v>
      </c>
      <c r="L864" s="1358"/>
      <c r="M864" s="1359"/>
      <c r="N864" s="1903"/>
      <c r="O864" s="1360"/>
      <c r="P864" s="1358"/>
      <c r="Q864" s="1617"/>
      <c r="R864" s="1411">
        <f t="shared" si="103"/>
        <v>9</v>
      </c>
      <c r="S864" s="1419" t="s">
        <v>8</v>
      </c>
      <c r="T864" s="1364" t="s">
        <v>90</v>
      </c>
      <c r="U864" s="1620" t="s">
        <v>1065</v>
      </c>
      <c r="V864" s="1760">
        <f t="shared" si="106"/>
        <v>257.89999999999998</v>
      </c>
      <c r="W864" s="503"/>
      <c r="X864" s="503"/>
      <c r="Y864" s="503"/>
      <c r="Z864" s="504"/>
      <c r="AA864" s="505"/>
      <c r="AB864" s="506"/>
    </row>
    <row r="865" spans="1:28" s="507" customFormat="1" ht="30">
      <c r="A865" s="499"/>
      <c r="B865" s="1372"/>
      <c r="C865" s="76" t="s">
        <v>1074</v>
      </c>
      <c r="D865" s="1351">
        <v>12</v>
      </c>
      <c r="E865" s="1352" t="s">
        <v>68</v>
      </c>
      <c r="F865" s="1353">
        <v>0</v>
      </c>
      <c r="G865" s="1351">
        <v>12</v>
      </c>
      <c r="H865" s="1352" t="s">
        <v>68</v>
      </c>
      <c r="I865" s="1353">
        <v>3</v>
      </c>
      <c r="J865" s="1356" t="s">
        <v>69</v>
      </c>
      <c r="K865" s="215">
        <f t="shared" si="102"/>
        <v>3</v>
      </c>
      <c r="L865" s="1358"/>
      <c r="M865" s="1359"/>
      <c r="N865" s="1903"/>
      <c r="O865" s="1360"/>
      <c r="P865" s="1358"/>
      <c r="Q865" s="1617"/>
      <c r="R865" s="1411">
        <f t="shared" si="103"/>
        <v>3</v>
      </c>
      <c r="S865" s="1419" t="s">
        <v>8</v>
      </c>
      <c r="T865" s="1364" t="s">
        <v>90</v>
      </c>
      <c r="U865" s="1620" t="s">
        <v>1065</v>
      </c>
      <c r="V865" s="1760">
        <f t="shared" si="106"/>
        <v>257.89999999999998</v>
      </c>
      <c r="W865" s="503"/>
      <c r="X865" s="503"/>
      <c r="Y865" s="503"/>
      <c r="Z865" s="504"/>
      <c r="AA865" s="505"/>
      <c r="AB865" s="506"/>
    </row>
    <row r="866" spans="1:28" s="507" customFormat="1" ht="30">
      <c r="A866" s="499"/>
      <c r="B866" s="1372"/>
      <c r="C866" s="1350" t="s">
        <v>1075</v>
      </c>
      <c r="D866" s="1351">
        <v>100</v>
      </c>
      <c r="E866" s="1352" t="s">
        <v>68</v>
      </c>
      <c r="F866" s="1353">
        <v>6</v>
      </c>
      <c r="G866" s="1351">
        <v>100</v>
      </c>
      <c r="H866" s="1352" t="s">
        <v>68</v>
      </c>
      <c r="I866" s="1353">
        <v>12.8</v>
      </c>
      <c r="J866" s="1356" t="s">
        <v>70</v>
      </c>
      <c r="K866" s="215">
        <f t="shared" si="102"/>
        <v>6.8000000000000007</v>
      </c>
      <c r="L866" s="1358"/>
      <c r="M866" s="1359"/>
      <c r="N866" s="1903"/>
      <c r="O866" s="1360"/>
      <c r="P866" s="1358"/>
      <c r="Q866" s="1617"/>
      <c r="R866" s="1411">
        <f t="shared" si="103"/>
        <v>6.8000000000000007</v>
      </c>
      <c r="S866" s="1419" t="s">
        <v>8</v>
      </c>
      <c r="T866" s="1364" t="s">
        <v>90</v>
      </c>
      <c r="U866" s="1620" t="s">
        <v>1066</v>
      </c>
      <c r="V866" s="1760">
        <f t="shared" si="106"/>
        <v>257.89999999999998</v>
      </c>
      <c r="W866" s="503"/>
      <c r="X866" s="503"/>
      <c r="Y866" s="503"/>
      <c r="Z866" s="504"/>
      <c r="AA866" s="505"/>
      <c r="AB866" s="506"/>
    </row>
    <row r="867" spans="1:28" s="507" customFormat="1" ht="30">
      <c r="A867" s="499"/>
      <c r="B867" s="1372"/>
      <c r="C867" s="1350" t="s">
        <v>1075</v>
      </c>
      <c r="D867" s="1351">
        <v>100</v>
      </c>
      <c r="E867" s="1352" t="s">
        <v>68</v>
      </c>
      <c r="F867" s="1353">
        <v>6</v>
      </c>
      <c r="G867" s="1351">
        <v>101</v>
      </c>
      <c r="H867" s="1352" t="s">
        <v>68</v>
      </c>
      <c r="I867" s="1353">
        <v>2.2000000000000002</v>
      </c>
      <c r="J867" s="1356" t="s">
        <v>69</v>
      </c>
      <c r="K867" s="215">
        <f t="shared" si="102"/>
        <v>16.2</v>
      </c>
      <c r="L867" s="1358"/>
      <c r="M867" s="1359"/>
      <c r="N867" s="1903"/>
      <c r="O867" s="1360"/>
      <c r="P867" s="1358"/>
      <c r="Q867" s="1617"/>
      <c r="R867" s="1411">
        <f t="shared" si="103"/>
        <v>16.2</v>
      </c>
      <c r="S867" s="1419" t="s">
        <v>8</v>
      </c>
      <c r="T867" s="1364" t="s">
        <v>90</v>
      </c>
      <c r="U867" s="1620" t="s">
        <v>1066</v>
      </c>
      <c r="V867" s="1760">
        <f t="shared" si="106"/>
        <v>257.89999999999998</v>
      </c>
      <c r="W867" s="503"/>
      <c r="X867" s="503"/>
      <c r="Y867" s="503"/>
      <c r="Z867" s="504"/>
      <c r="AA867" s="505"/>
      <c r="AB867" s="506"/>
    </row>
    <row r="868" spans="1:28" s="507" customFormat="1" ht="30">
      <c r="A868" s="499"/>
      <c r="B868" s="1372"/>
      <c r="C868" s="1350" t="s">
        <v>1075</v>
      </c>
      <c r="D868" s="1351">
        <v>109</v>
      </c>
      <c r="E868" s="1352" t="s">
        <v>68</v>
      </c>
      <c r="F868" s="1353">
        <v>0</v>
      </c>
      <c r="G868" s="1351">
        <v>112</v>
      </c>
      <c r="H868" s="1352" t="s">
        <v>68</v>
      </c>
      <c r="I868" s="1353">
        <v>0</v>
      </c>
      <c r="J868" s="1356" t="s">
        <v>70</v>
      </c>
      <c r="K868" s="215">
        <f t="shared" si="102"/>
        <v>60</v>
      </c>
      <c r="L868" s="1358"/>
      <c r="M868" s="1359"/>
      <c r="N868" s="1903"/>
      <c r="O868" s="1360"/>
      <c r="P868" s="1358"/>
      <c r="Q868" s="1617"/>
      <c r="R868" s="1411">
        <f t="shared" si="103"/>
        <v>60</v>
      </c>
      <c r="S868" s="1419" t="s">
        <v>8</v>
      </c>
      <c r="T868" s="1364" t="s">
        <v>90</v>
      </c>
      <c r="U868" s="1620" t="s">
        <v>1067</v>
      </c>
      <c r="V868" s="1760">
        <f t="shared" si="106"/>
        <v>257.89999999999998</v>
      </c>
      <c r="W868" s="503"/>
      <c r="X868" s="503"/>
      <c r="Y868" s="503"/>
      <c r="Z868" s="504"/>
      <c r="AA868" s="505"/>
      <c r="AB868" s="506"/>
    </row>
    <row r="869" spans="1:28" s="515" customFormat="1" ht="15">
      <c r="A869" s="510"/>
      <c r="B869" s="1045"/>
      <c r="C869" s="127"/>
      <c r="D869" s="957"/>
      <c r="E869" s="125"/>
      <c r="F869" s="958"/>
      <c r="G869" s="126"/>
      <c r="H869" s="125"/>
      <c r="I869" s="124"/>
      <c r="J869" s="123"/>
      <c r="K869" s="122"/>
      <c r="L869" s="119"/>
      <c r="M869" s="121"/>
      <c r="N869" s="120"/>
      <c r="O869" s="120"/>
      <c r="P869" s="119"/>
      <c r="Q869" s="118"/>
      <c r="R869" s="1788"/>
      <c r="S869" s="959"/>
      <c r="T869" s="960"/>
      <c r="U869" s="1078"/>
      <c r="V869" s="1760">
        <f t="shared" ref="V869" si="107">V870</f>
        <v>257.89999999999998</v>
      </c>
      <c r="W869" s="513"/>
      <c r="X869" s="513"/>
      <c r="Y869" s="513"/>
      <c r="Z869" s="514"/>
    </row>
    <row r="870" spans="1:28" s="8" customFormat="1" ht="15.75" customHeight="1">
      <c r="A870" s="516"/>
      <c r="B870" s="877"/>
      <c r="C870" s="113"/>
      <c r="D870" s="2436" t="s">
        <v>18</v>
      </c>
      <c r="E870" s="2437"/>
      <c r="F870" s="2437"/>
      <c r="G870" s="2437"/>
      <c r="H870" s="2437"/>
      <c r="I870" s="2438"/>
      <c r="J870" s="2439">
        <f>VLOOKUP(A872,'12 - FINANCEIRA'!_xlnm.Print_Area,6,FALSE)</f>
        <v>410</v>
      </c>
      <c r="K870" s="2440"/>
      <c r="L870" s="910" t="str">
        <f>VLOOKUP(A872,'12 - FINANCEIRA'!_xlnm.Print_Area,4,FALSE)</f>
        <v>m</v>
      </c>
      <c r="M870" s="2441" t="s">
        <v>19</v>
      </c>
      <c r="N870" s="2442"/>
      <c r="O870" s="2442"/>
      <c r="P870" s="2442"/>
      <c r="Q870" s="2443"/>
      <c r="R870" s="904">
        <f>SUM(R851:R869)</f>
        <v>257.89999999999998</v>
      </c>
      <c r="S870" s="905" t="str">
        <f>L870</f>
        <v>m</v>
      </c>
      <c r="T870" s="1777"/>
      <c r="U870" s="1778"/>
      <c r="V870" s="1314">
        <f>V871</f>
        <v>257.89999999999998</v>
      </c>
      <c r="AB870" s="15"/>
    </row>
    <row r="871" spans="1:28" s="8" customFormat="1" ht="15.75" customHeight="1">
      <c r="A871" s="516"/>
      <c r="B871" s="877"/>
      <c r="C871" s="681"/>
      <c r="D871" s="2444" t="s">
        <v>20</v>
      </c>
      <c r="E871" s="2445"/>
      <c r="F871" s="2445"/>
      <c r="G871" s="2445"/>
      <c r="H871" s="2445"/>
      <c r="I871" s="2446"/>
      <c r="J871" s="2450">
        <f>R870/J870</f>
        <v>0.62902439024390233</v>
      </c>
      <c r="K871" s="2451"/>
      <c r="L871" s="2454"/>
      <c r="M871" s="2441" t="s">
        <v>21</v>
      </c>
      <c r="N871" s="2442"/>
      <c r="O871" s="2442"/>
      <c r="P871" s="2442"/>
      <c r="Q871" s="2443"/>
      <c r="R871" s="878">
        <f>VLOOKUP(A872,'12 - FINANCEIRA'!_xlnm.Print_Area,8,FALSE)</f>
        <v>0</v>
      </c>
      <c r="S871" s="879" t="str">
        <f>L870</f>
        <v>m</v>
      </c>
      <c r="T871" s="680"/>
      <c r="U871" s="663"/>
      <c r="V871" s="1314">
        <f>V872</f>
        <v>257.89999999999998</v>
      </c>
      <c r="AB871" s="15"/>
    </row>
    <row r="872" spans="1:28" s="8" customFormat="1" ht="15.75" customHeight="1">
      <c r="A872" s="516" t="s">
        <v>972</v>
      </c>
      <c r="B872" s="877"/>
      <c r="C872" s="113"/>
      <c r="D872" s="2475"/>
      <c r="E872" s="2460"/>
      <c r="F872" s="2460"/>
      <c r="G872" s="2460"/>
      <c r="H872" s="2460"/>
      <c r="I872" s="2476"/>
      <c r="J872" s="2477"/>
      <c r="K872" s="2478"/>
      <c r="L872" s="2470"/>
      <c r="M872" s="2441" t="s">
        <v>22</v>
      </c>
      <c r="N872" s="2442"/>
      <c r="O872" s="2442"/>
      <c r="P872" s="2442"/>
      <c r="Q872" s="2443"/>
      <c r="R872" s="521">
        <f>R870-R871</f>
        <v>257.89999999999998</v>
      </c>
      <c r="S872" s="522" t="str">
        <f>L870</f>
        <v>m</v>
      </c>
      <c r="T872" s="680"/>
      <c r="U872" s="663"/>
      <c r="V872" s="1314">
        <f>R872</f>
        <v>257.89999999999998</v>
      </c>
      <c r="AB872" s="15"/>
    </row>
    <row r="873" spans="1:28" s="8" customFormat="1" ht="15.75">
      <c r="A873" s="516"/>
      <c r="B873" s="523"/>
      <c r="C873" s="524"/>
      <c r="D873" s="526"/>
      <c r="E873" s="526"/>
      <c r="F873" s="526"/>
      <c r="G873" s="525"/>
      <c r="H873" s="525"/>
      <c r="I873" s="525"/>
      <c r="J873" s="527"/>
      <c r="K873" s="528"/>
      <c r="L873" s="529"/>
      <c r="M873" s="530"/>
      <c r="N873" s="530"/>
      <c r="O873" s="530"/>
      <c r="P873" s="530"/>
      <c r="Q873" s="530"/>
      <c r="R873" s="531"/>
      <c r="S873" s="532"/>
      <c r="T873" s="533"/>
      <c r="U873" s="534"/>
      <c r="V873" s="1658">
        <f>SUM(V849:V872)</f>
        <v>6189.5999999999976</v>
      </c>
      <c r="AB873" s="15"/>
    </row>
  </sheetData>
  <sheetProtection selectLockedCells="1" selectUnlockedCells="1"/>
  <autoFilter ref="V1:V873" xr:uid="{00000000-0009-0000-0000-000006000000}">
    <filterColumn colId="0">
      <filters blank="1">
        <filter val="0,000"/>
        <filter val="0,960"/>
        <filter val="1,000"/>
        <filter val="1.065,243"/>
        <filter val="1.430,000"/>
        <filter val="1.485,290"/>
        <filter val="1.504,817"/>
        <filter val="1.634,000"/>
        <filter val="1.780,442"/>
        <filter val="1.920,000"/>
        <filter val="11,424"/>
        <filter val="110,000"/>
        <filter val="12,000"/>
        <filter val="125,664"/>
        <filter val="13.367,610"/>
        <filter val="13.543,353"/>
        <filter val="135,000"/>
        <filter val="142,560"/>
        <filter val="151.503,201"/>
        <filter val="16.023,978"/>
        <filter val="16.833,689"/>
        <filter val="17,390"/>
        <filter val="171,000"/>
        <filter val="18,000"/>
        <filter val="180,000"/>
        <filter val="2,000"/>
        <filter val="2.310,560"/>
        <filter val="2.525,760"/>
        <filter val="2.632,257"/>
        <filter val="2.727,000"/>
        <filter val="2.750,000"/>
        <filter val="20.795,040"/>
        <filter val="22.731,840"/>
        <filter val="23,000"/>
        <filter val="24.960,000"/>
        <filter val="244,000"/>
        <filter val="257,900"/>
        <filter val="288,000"/>
        <filter val="3.150,000"/>
        <filter val="303,000"/>
        <filter val="324,000"/>
        <filter val="342,000"/>
        <filter val="345,000"/>
        <filter val="35,280"/>
        <filter val="350,000"/>
        <filter val="36,000"/>
        <filter val="38,000"/>
        <filter val="4,000"/>
        <filter val="464.388,570"/>
        <filter val="5.437,116"/>
        <filter val="50,000"/>
        <filter val="6.189,600"/>
        <filter val="6.832,000"/>
        <filter val="604,124"/>
        <filter val="63,000"/>
        <filter val="7,000"/>
        <filter val="8,640"/>
        <filter val="9,000"/>
        <filter val="9.587,187"/>
        <filter val="97,491"/>
      </filters>
    </filterColumn>
  </autoFilter>
  <mergeCells count="1569">
    <mergeCell ref="R849:R850"/>
    <mergeCell ref="S849:S850"/>
    <mergeCell ref="T849:T850"/>
    <mergeCell ref="U849:U850"/>
    <mergeCell ref="D850:F850"/>
    <mergeCell ref="G850:I850"/>
    <mergeCell ref="D870:I870"/>
    <mergeCell ref="J870:K870"/>
    <mergeCell ref="M870:Q870"/>
    <mergeCell ref="D871:I872"/>
    <mergeCell ref="J871:K872"/>
    <mergeCell ref="L871:L872"/>
    <mergeCell ref="M871:Q871"/>
    <mergeCell ref="M872:Q872"/>
    <mergeCell ref="D845:I845"/>
    <mergeCell ref="J845:K845"/>
    <mergeCell ref="M845:Q845"/>
    <mergeCell ref="D846:I847"/>
    <mergeCell ref="J846:K847"/>
    <mergeCell ref="L846:L847"/>
    <mergeCell ref="M846:Q846"/>
    <mergeCell ref="M847:Q847"/>
    <mergeCell ref="B849:B850"/>
    <mergeCell ref="C849:C850"/>
    <mergeCell ref="D849:I849"/>
    <mergeCell ref="J849:J850"/>
    <mergeCell ref="K849:K850"/>
    <mergeCell ref="L849:L850"/>
    <mergeCell ref="M849:M850"/>
    <mergeCell ref="N849:N850"/>
    <mergeCell ref="O849:O850"/>
    <mergeCell ref="P849:P850"/>
    <mergeCell ref="Q849:Q850"/>
    <mergeCell ref="R825:R826"/>
    <mergeCell ref="S825:S826"/>
    <mergeCell ref="T825:T826"/>
    <mergeCell ref="U825:U826"/>
    <mergeCell ref="D826:F826"/>
    <mergeCell ref="G826:I826"/>
    <mergeCell ref="D831:I831"/>
    <mergeCell ref="J831:K831"/>
    <mergeCell ref="M831:Q831"/>
    <mergeCell ref="D832:I833"/>
    <mergeCell ref="J832:K833"/>
    <mergeCell ref="L832:L833"/>
    <mergeCell ref="M832:Q832"/>
    <mergeCell ref="M833:Q833"/>
    <mergeCell ref="B835:B836"/>
    <mergeCell ref="C835:C836"/>
    <mergeCell ref="D835:I835"/>
    <mergeCell ref="J835:J836"/>
    <mergeCell ref="K835:K836"/>
    <mergeCell ref="L835:L836"/>
    <mergeCell ref="M835:M836"/>
    <mergeCell ref="N835:N836"/>
    <mergeCell ref="O835:O836"/>
    <mergeCell ref="P835:P836"/>
    <mergeCell ref="Q835:Q836"/>
    <mergeCell ref="R835:R836"/>
    <mergeCell ref="S835:S836"/>
    <mergeCell ref="T835:T836"/>
    <mergeCell ref="U835:U836"/>
    <mergeCell ref="D836:F836"/>
    <mergeCell ref="G836:I836"/>
    <mergeCell ref="D821:I821"/>
    <mergeCell ref="J821:K821"/>
    <mergeCell ref="M821:Q821"/>
    <mergeCell ref="D822:I823"/>
    <mergeCell ref="J822:K823"/>
    <mergeCell ref="L822:L823"/>
    <mergeCell ref="M822:Q822"/>
    <mergeCell ref="M823:Q823"/>
    <mergeCell ref="B825:B826"/>
    <mergeCell ref="C825:C826"/>
    <mergeCell ref="D825:I825"/>
    <mergeCell ref="J825:J826"/>
    <mergeCell ref="K825:K826"/>
    <mergeCell ref="L825:L826"/>
    <mergeCell ref="M825:M826"/>
    <mergeCell ref="N825:N826"/>
    <mergeCell ref="O825:O826"/>
    <mergeCell ref="P825:P826"/>
    <mergeCell ref="Q825:Q826"/>
    <mergeCell ref="R771:R772"/>
    <mergeCell ref="S771:S772"/>
    <mergeCell ref="T771:T772"/>
    <mergeCell ref="U771:U772"/>
    <mergeCell ref="D772:F772"/>
    <mergeCell ref="G772:I772"/>
    <mergeCell ref="D777:I777"/>
    <mergeCell ref="J777:K777"/>
    <mergeCell ref="M777:Q777"/>
    <mergeCell ref="D778:I779"/>
    <mergeCell ref="J778:K779"/>
    <mergeCell ref="L778:L779"/>
    <mergeCell ref="M778:Q778"/>
    <mergeCell ref="M779:Q779"/>
    <mergeCell ref="B781:B782"/>
    <mergeCell ref="C781:C782"/>
    <mergeCell ref="D781:I781"/>
    <mergeCell ref="J781:J782"/>
    <mergeCell ref="K781:K782"/>
    <mergeCell ref="L781:L782"/>
    <mergeCell ref="M781:M782"/>
    <mergeCell ref="N781:N782"/>
    <mergeCell ref="O781:O782"/>
    <mergeCell ref="P781:P782"/>
    <mergeCell ref="Q781:Q782"/>
    <mergeCell ref="R781:R782"/>
    <mergeCell ref="S781:S782"/>
    <mergeCell ref="T781:T782"/>
    <mergeCell ref="U781:U782"/>
    <mergeCell ref="D782:F782"/>
    <mergeCell ref="G782:I782"/>
    <mergeCell ref="D767:I767"/>
    <mergeCell ref="J767:K767"/>
    <mergeCell ref="M767:Q767"/>
    <mergeCell ref="D768:I769"/>
    <mergeCell ref="J768:K769"/>
    <mergeCell ref="L768:L769"/>
    <mergeCell ref="M768:Q768"/>
    <mergeCell ref="M769:Q769"/>
    <mergeCell ref="B771:B772"/>
    <mergeCell ref="C771:C772"/>
    <mergeCell ref="D771:I771"/>
    <mergeCell ref="J771:J772"/>
    <mergeCell ref="K771:K772"/>
    <mergeCell ref="L771:L772"/>
    <mergeCell ref="M771:M772"/>
    <mergeCell ref="N771:N772"/>
    <mergeCell ref="O771:O772"/>
    <mergeCell ref="Q771:Q772"/>
    <mergeCell ref="R750:R751"/>
    <mergeCell ref="S750:S751"/>
    <mergeCell ref="T750:T751"/>
    <mergeCell ref="U750:U751"/>
    <mergeCell ref="D751:F751"/>
    <mergeCell ref="G751:I751"/>
    <mergeCell ref="D756:I756"/>
    <mergeCell ref="J756:K756"/>
    <mergeCell ref="M756:Q756"/>
    <mergeCell ref="D757:I758"/>
    <mergeCell ref="J757:K758"/>
    <mergeCell ref="L757:L758"/>
    <mergeCell ref="M757:Q757"/>
    <mergeCell ref="M758:Q758"/>
    <mergeCell ref="B760:B761"/>
    <mergeCell ref="C760:C761"/>
    <mergeCell ref="D760:I760"/>
    <mergeCell ref="J760:J761"/>
    <mergeCell ref="K760:K761"/>
    <mergeCell ref="L760:L761"/>
    <mergeCell ref="M760:M761"/>
    <mergeCell ref="N760:N761"/>
    <mergeCell ref="O760:O761"/>
    <mergeCell ref="Q760:Q761"/>
    <mergeCell ref="R760:R761"/>
    <mergeCell ref="S760:S761"/>
    <mergeCell ref="T760:T761"/>
    <mergeCell ref="U760:U761"/>
    <mergeCell ref="D761:F761"/>
    <mergeCell ref="G761:I761"/>
    <mergeCell ref="D746:I746"/>
    <mergeCell ref="J746:K746"/>
    <mergeCell ref="M746:Q746"/>
    <mergeCell ref="D747:I748"/>
    <mergeCell ref="J747:K748"/>
    <mergeCell ref="L747:L748"/>
    <mergeCell ref="M747:Q747"/>
    <mergeCell ref="M748:Q748"/>
    <mergeCell ref="B750:B751"/>
    <mergeCell ref="C750:C751"/>
    <mergeCell ref="D750:I750"/>
    <mergeCell ref="J750:J751"/>
    <mergeCell ref="K750:K751"/>
    <mergeCell ref="L750:L751"/>
    <mergeCell ref="M750:M751"/>
    <mergeCell ref="N750:N751"/>
    <mergeCell ref="O750:O751"/>
    <mergeCell ref="Q750:Q751"/>
    <mergeCell ref="R684:R685"/>
    <mergeCell ref="S684:S685"/>
    <mergeCell ref="T684:T685"/>
    <mergeCell ref="U684:U685"/>
    <mergeCell ref="D685:F685"/>
    <mergeCell ref="G685:I685"/>
    <mergeCell ref="D736:I736"/>
    <mergeCell ref="J736:K736"/>
    <mergeCell ref="M736:Q736"/>
    <mergeCell ref="D737:I738"/>
    <mergeCell ref="J737:K738"/>
    <mergeCell ref="L737:L738"/>
    <mergeCell ref="M737:Q737"/>
    <mergeCell ref="M738:Q738"/>
    <mergeCell ref="B740:B741"/>
    <mergeCell ref="C740:C741"/>
    <mergeCell ref="D740:I740"/>
    <mergeCell ref="J740:J741"/>
    <mergeCell ref="K740:K741"/>
    <mergeCell ref="L740:L741"/>
    <mergeCell ref="M740:M741"/>
    <mergeCell ref="N740:N741"/>
    <mergeCell ref="O740:O741"/>
    <mergeCell ref="P740:P741"/>
    <mergeCell ref="Q740:Q741"/>
    <mergeCell ref="R740:R741"/>
    <mergeCell ref="S740:S741"/>
    <mergeCell ref="T740:T741"/>
    <mergeCell ref="U740:U741"/>
    <mergeCell ref="D741:F741"/>
    <mergeCell ref="G741:I741"/>
    <mergeCell ref="D680:I680"/>
    <mergeCell ref="J680:K680"/>
    <mergeCell ref="M680:Q680"/>
    <mergeCell ref="D681:I682"/>
    <mergeCell ref="J681:K682"/>
    <mergeCell ref="L681:L682"/>
    <mergeCell ref="M681:Q681"/>
    <mergeCell ref="M682:Q682"/>
    <mergeCell ref="B684:B685"/>
    <mergeCell ref="C684:C685"/>
    <mergeCell ref="D684:I684"/>
    <mergeCell ref="J684:J685"/>
    <mergeCell ref="K684:K685"/>
    <mergeCell ref="L684:L685"/>
    <mergeCell ref="M684:M685"/>
    <mergeCell ref="N684:N685"/>
    <mergeCell ref="O684:O685"/>
    <mergeCell ref="P684:P685"/>
    <mergeCell ref="Q684:Q685"/>
    <mergeCell ref="R660:R661"/>
    <mergeCell ref="S660:S661"/>
    <mergeCell ref="T660:T661"/>
    <mergeCell ref="U660:U661"/>
    <mergeCell ref="D661:F661"/>
    <mergeCell ref="G661:I661"/>
    <mergeCell ref="D666:I666"/>
    <mergeCell ref="J666:K666"/>
    <mergeCell ref="M666:Q666"/>
    <mergeCell ref="D667:I668"/>
    <mergeCell ref="J667:K668"/>
    <mergeCell ref="L667:L668"/>
    <mergeCell ref="M667:Q667"/>
    <mergeCell ref="M668:Q668"/>
    <mergeCell ref="B670:B671"/>
    <mergeCell ref="C670:C671"/>
    <mergeCell ref="D670:I670"/>
    <mergeCell ref="J670:J671"/>
    <mergeCell ref="K670:K671"/>
    <mergeCell ref="L670:L671"/>
    <mergeCell ref="M670:M671"/>
    <mergeCell ref="N670:N671"/>
    <mergeCell ref="O670:O671"/>
    <mergeCell ref="Q670:Q671"/>
    <mergeCell ref="R670:R671"/>
    <mergeCell ref="S670:S671"/>
    <mergeCell ref="T670:T671"/>
    <mergeCell ref="U670:U671"/>
    <mergeCell ref="D671:F671"/>
    <mergeCell ref="G671:I671"/>
    <mergeCell ref="D656:I656"/>
    <mergeCell ref="J656:K656"/>
    <mergeCell ref="M656:Q656"/>
    <mergeCell ref="D657:I658"/>
    <mergeCell ref="J657:K658"/>
    <mergeCell ref="L657:L658"/>
    <mergeCell ref="M657:Q657"/>
    <mergeCell ref="M658:Q658"/>
    <mergeCell ref="B660:B661"/>
    <mergeCell ref="C660:C661"/>
    <mergeCell ref="D660:I660"/>
    <mergeCell ref="J660:J661"/>
    <mergeCell ref="K660:K661"/>
    <mergeCell ref="L660:L661"/>
    <mergeCell ref="M660:M661"/>
    <mergeCell ref="N660:N661"/>
    <mergeCell ref="O660:O661"/>
    <mergeCell ref="Q660:Q661"/>
    <mergeCell ref="S628:S629"/>
    <mergeCell ref="T628:T629"/>
    <mergeCell ref="U628:U629"/>
    <mergeCell ref="D629:F629"/>
    <mergeCell ref="G629:I629"/>
    <mergeCell ref="D640:I640"/>
    <mergeCell ref="J640:K640"/>
    <mergeCell ref="M640:Q640"/>
    <mergeCell ref="D641:I642"/>
    <mergeCell ref="J641:K642"/>
    <mergeCell ref="L641:L642"/>
    <mergeCell ref="M641:Q641"/>
    <mergeCell ref="M642:Q642"/>
    <mergeCell ref="B644:B645"/>
    <mergeCell ref="C644:C645"/>
    <mergeCell ref="D644:I644"/>
    <mergeCell ref="J644:J645"/>
    <mergeCell ref="K644:K645"/>
    <mergeCell ref="L644:L645"/>
    <mergeCell ref="M644:M645"/>
    <mergeCell ref="N644:N645"/>
    <mergeCell ref="O644:O645"/>
    <mergeCell ref="Q644:Q645"/>
    <mergeCell ref="R644:R645"/>
    <mergeCell ref="S644:S645"/>
    <mergeCell ref="T644:T645"/>
    <mergeCell ref="U644:U645"/>
    <mergeCell ref="D645:F645"/>
    <mergeCell ref="G645:I645"/>
    <mergeCell ref="P644:P645"/>
    <mergeCell ref="D623:I623"/>
    <mergeCell ref="J623:K623"/>
    <mergeCell ref="M623:Q623"/>
    <mergeCell ref="D624:I625"/>
    <mergeCell ref="J624:K625"/>
    <mergeCell ref="L624:L625"/>
    <mergeCell ref="M624:Q624"/>
    <mergeCell ref="M625:Q625"/>
    <mergeCell ref="G627:L627"/>
    <mergeCell ref="O627:R627"/>
    <mergeCell ref="B628:B629"/>
    <mergeCell ref="C628:C629"/>
    <mergeCell ref="D628:I628"/>
    <mergeCell ref="J628:J629"/>
    <mergeCell ref="K628:K629"/>
    <mergeCell ref="L628:L629"/>
    <mergeCell ref="M628:M629"/>
    <mergeCell ref="N628:N629"/>
    <mergeCell ref="O628:O629"/>
    <mergeCell ref="P628:P629"/>
    <mergeCell ref="Q628:Q629"/>
    <mergeCell ref="R628:R629"/>
    <mergeCell ref="G615:L615"/>
    <mergeCell ref="G616:L616"/>
    <mergeCell ref="O616:R616"/>
    <mergeCell ref="B617:B618"/>
    <mergeCell ref="C617:C618"/>
    <mergeCell ref="D617:I617"/>
    <mergeCell ref="J617:J618"/>
    <mergeCell ref="K617:K618"/>
    <mergeCell ref="L617:L618"/>
    <mergeCell ref="M617:M618"/>
    <mergeCell ref="N617:N618"/>
    <mergeCell ref="O617:O618"/>
    <mergeCell ref="Q617:Q618"/>
    <mergeCell ref="R617:R618"/>
    <mergeCell ref="S617:S618"/>
    <mergeCell ref="T617:T618"/>
    <mergeCell ref="U617:U618"/>
    <mergeCell ref="D618:F618"/>
    <mergeCell ref="G618:I618"/>
    <mergeCell ref="D129:F129"/>
    <mergeCell ref="G129:I129"/>
    <mergeCell ref="D142:F142"/>
    <mergeCell ref="G142:I142"/>
    <mergeCell ref="U399:U400"/>
    <mergeCell ref="D400:F400"/>
    <mergeCell ref="G400:I400"/>
    <mergeCell ref="D405:I405"/>
    <mergeCell ref="J405:K405"/>
    <mergeCell ref="M405:Q405"/>
    <mergeCell ref="D406:I407"/>
    <mergeCell ref="J406:K407"/>
    <mergeCell ref="L406:L407"/>
    <mergeCell ref="M406:Q406"/>
    <mergeCell ref="M407:Q407"/>
    <mergeCell ref="R35:R36"/>
    <mergeCell ref="U45:U46"/>
    <mergeCell ref="U135:U136"/>
    <mergeCell ref="U55:U56"/>
    <mergeCell ref="Q55:Q56"/>
    <mergeCell ref="R55:R56"/>
    <mergeCell ref="J86:J87"/>
    <mergeCell ref="K86:K87"/>
    <mergeCell ref="L86:L87"/>
    <mergeCell ref="N65:N66"/>
    <mergeCell ref="O65:O66"/>
    <mergeCell ref="Q65:Q66"/>
    <mergeCell ref="R65:R66"/>
    <mergeCell ref="S65:S66"/>
    <mergeCell ref="T65:T66"/>
    <mergeCell ref="U65:U66"/>
    <mergeCell ref="S399:S400"/>
    <mergeCell ref="T399:T400"/>
    <mergeCell ref="S45:S46"/>
    <mergeCell ref="T45:T46"/>
    <mergeCell ref="T135:T136"/>
    <mergeCell ref="D137:F137"/>
    <mergeCell ref="G137:I137"/>
    <mergeCell ref="S55:S56"/>
    <mergeCell ref="T55:T56"/>
    <mergeCell ref="D56:F56"/>
    <mergeCell ref="G56:I56"/>
    <mergeCell ref="D61:I61"/>
    <mergeCell ref="J61:K61"/>
    <mergeCell ref="M61:Q61"/>
    <mergeCell ref="L55:L56"/>
    <mergeCell ref="M55:M56"/>
    <mergeCell ref="N55:N56"/>
    <mergeCell ref="O55:O56"/>
    <mergeCell ref="D140:F140"/>
    <mergeCell ref="G140:I140"/>
    <mergeCell ref="D114:F114"/>
    <mergeCell ref="G114:I114"/>
    <mergeCell ref="T86:T87"/>
    <mergeCell ref="M94:Q94"/>
    <mergeCell ref="L65:L66"/>
    <mergeCell ref="M65:M66"/>
    <mergeCell ref="L82:L83"/>
    <mergeCell ref="M82:Q82"/>
    <mergeCell ref="M83:Q83"/>
    <mergeCell ref="D66:F66"/>
    <mergeCell ref="G66:I66"/>
    <mergeCell ref="D71:I71"/>
    <mergeCell ref="J71:K71"/>
    <mergeCell ref="R135:R136"/>
    <mergeCell ref="S135:S136"/>
    <mergeCell ref="R109:R110"/>
    <mergeCell ref="S109:S110"/>
    <mergeCell ref="P250:P251"/>
    <mergeCell ref="C7:D7"/>
    <mergeCell ref="E7:L7"/>
    <mergeCell ref="C8:D8"/>
    <mergeCell ref="E8:L8"/>
    <mergeCell ref="C9:D9"/>
    <mergeCell ref="E9:L9"/>
    <mergeCell ref="D51:I51"/>
    <mergeCell ref="J51:K51"/>
    <mergeCell ref="M51:Q51"/>
    <mergeCell ref="J41:K41"/>
    <mergeCell ref="M41:Q41"/>
    <mergeCell ref="L35:L36"/>
    <mergeCell ref="M35:M36"/>
    <mergeCell ref="N35:N36"/>
    <mergeCell ref="O35:O36"/>
    <mergeCell ref="Q35:Q36"/>
    <mergeCell ref="D46:F46"/>
    <mergeCell ref="G46:I46"/>
    <mergeCell ref="L45:L46"/>
    <mergeCell ref="M45:M46"/>
    <mergeCell ref="N45:N46"/>
    <mergeCell ref="O45:O46"/>
    <mergeCell ref="Q45:Q46"/>
    <mergeCell ref="D42:I43"/>
    <mergeCell ref="J42:K43"/>
    <mergeCell ref="L42:L43"/>
    <mergeCell ref="M43:Q43"/>
    <mergeCell ref="D93:I94"/>
    <mergeCell ref="J93:K94"/>
    <mergeCell ref="L93:L94"/>
    <mergeCell ref="M93:Q93"/>
    <mergeCell ref="B1:U4"/>
    <mergeCell ref="B5:D5"/>
    <mergeCell ref="E5:N5"/>
    <mergeCell ref="O5:U5"/>
    <mergeCell ref="E6:L6"/>
    <mergeCell ref="B11:U11"/>
    <mergeCell ref="G14:L14"/>
    <mergeCell ref="D32:I33"/>
    <mergeCell ref="J32:K33"/>
    <mergeCell ref="L32:L33"/>
    <mergeCell ref="M32:Q32"/>
    <mergeCell ref="M33:Q33"/>
    <mergeCell ref="D22:I23"/>
    <mergeCell ref="J22:K23"/>
    <mergeCell ref="L22:L23"/>
    <mergeCell ref="M22:Q22"/>
    <mergeCell ref="M23:Q23"/>
    <mergeCell ref="T15:T16"/>
    <mergeCell ref="U15:U16"/>
    <mergeCell ref="D16:F16"/>
    <mergeCell ref="G16:I16"/>
    <mergeCell ref="D21:I21"/>
    <mergeCell ref="J21:K21"/>
    <mergeCell ref="M21:Q21"/>
    <mergeCell ref="M15:M16"/>
    <mergeCell ref="N15:N16"/>
    <mergeCell ref="O15:O16"/>
    <mergeCell ref="Q15:Q16"/>
    <mergeCell ref="R15:R16"/>
    <mergeCell ref="S15:S16"/>
    <mergeCell ref="O14:R14"/>
    <mergeCell ref="C15:C16"/>
    <mergeCell ref="B15:B16"/>
    <mergeCell ref="S25:S26"/>
    <mergeCell ref="T25:T26"/>
    <mergeCell ref="U25:U26"/>
    <mergeCell ref="D26:F26"/>
    <mergeCell ref="G26:I26"/>
    <mergeCell ref="D31:I31"/>
    <mergeCell ref="J31:K31"/>
    <mergeCell ref="M31:Q31"/>
    <mergeCell ref="L25:L26"/>
    <mergeCell ref="M25:M26"/>
    <mergeCell ref="N25:N26"/>
    <mergeCell ref="O25:O26"/>
    <mergeCell ref="Q25:Q26"/>
    <mergeCell ref="R25:R26"/>
    <mergeCell ref="B25:B26"/>
    <mergeCell ref="C25:C26"/>
    <mergeCell ref="D25:I25"/>
    <mergeCell ref="J25:J26"/>
    <mergeCell ref="K25:K26"/>
    <mergeCell ref="D15:I15"/>
    <mergeCell ref="J15:J16"/>
    <mergeCell ref="K15:K16"/>
    <mergeCell ref="L15:L16"/>
    <mergeCell ref="B35:B36"/>
    <mergeCell ref="C35:C36"/>
    <mergeCell ref="D35:I35"/>
    <mergeCell ref="J35:J36"/>
    <mergeCell ref="K35:K36"/>
    <mergeCell ref="S35:S36"/>
    <mergeCell ref="T35:T36"/>
    <mergeCell ref="U35:U36"/>
    <mergeCell ref="D36:F36"/>
    <mergeCell ref="G36:I36"/>
    <mergeCell ref="B45:B46"/>
    <mergeCell ref="C45:C46"/>
    <mergeCell ref="D45:I45"/>
    <mergeCell ref="J45:J46"/>
    <mergeCell ref="K45:K46"/>
    <mergeCell ref="D41:I41"/>
    <mergeCell ref="M42:Q42"/>
    <mergeCell ref="R45:R46"/>
    <mergeCell ref="U86:U87"/>
    <mergeCell ref="D87:F87"/>
    <mergeCell ref="G87:I87"/>
    <mergeCell ref="D92:I92"/>
    <mergeCell ref="J92:K92"/>
    <mergeCell ref="M92:Q92"/>
    <mergeCell ref="M86:M87"/>
    <mergeCell ref="N86:N87"/>
    <mergeCell ref="O86:O87"/>
    <mergeCell ref="Q86:Q87"/>
    <mergeCell ref="R86:R87"/>
    <mergeCell ref="S86:S87"/>
    <mergeCell ref="L72:L73"/>
    <mergeCell ref="D75:I75"/>
    <mergeCell ref="J75:J76"/>
    <mergeCell ref="K75:K76"/>
    <mergeCell ref="L75:L76"/>
    <mergeCell ref="M75:M76"/>
    <mergeCell ref="N75:N76"/>
    <mergeCell ref="O75:O76"/>
    <mergeCell ref="Q75:Q76"/>
    <mergeCell ref="R75:R76"/>
    <mergeCell ref="S75:S76"/>
    <mergeCell ref="T75:T76"/>
    <mergeCell ref="U75:U76"/>
    <mergeCell ref="D76:F76"/>
    <mergeCell ref="G76:I76"/>
    <mergeCell ref="D81:I81"/>
    <mergeCell ref="J81:K81"/>
    <mergeCell ref="M81:Q81"/>
    <mergeCell ref="D82:I83"/>
    <mergeCell ref="J82:K83"/>
    <mergeCell ref="D52:I53"/>
    <mergeCell ref="J52:K53"/>
    <mergeCell ref="L52:L53"/>
    <mergeCell ref="M52:Q52"/>
    <mergeCell ref="M53:Q53"/>
    <mergeCell ref="B55:B56"/>
    <mergeCell ref="C55:C56"/>
    <mergeCell ref="D55:I55"/>
    <mergeCell ref="J55:J56"/>
    <mergeCell ref="K55:K56"/>
    <mergeCell ref="G85:L85"/>
    <mergeCell ref="O85:R85"/>
    <mergeCell ref="B86:B87"/>
    <mergeCell ref="C86:C87"/>
    <mergeCell ref="D62:I63"/>
    <mergeCell ref="J62:K63"/>
    <mergeCell ref="L62:L63"/>
    <mergeCell ref="M62:Q62"/>
    <mergeCell ref="M63:Q63"/>
    <mergeCell ref="D86:I86"/>
    <mergeCell ref="M72:Q72"/>
    <mergeCell ref="M73:Q73"/>
    <mergeCell ref="B75:B76"/>
    <mergeCell ref="C75:C76"/>
    <mergeCell ref="M71:Q71"/>
    <mergeCell ref="D72:I73"/>
    <mergeCell ref="J72:K73"/>
    <mergeCell ref="B65:B66"/>
    <mergeCell ref="C65:C66"/>
    <mergeCell ref="D65:I65"/>
    <mergeCell ref="J65:J66"/>
    <mergeCell ref="K65:K66"/>
    <mergeCell ref="G148:L148"/>
    <mergeCell ref="B150:B151"/>
    <mergeCell ref="C150:C151"/>
    <mergeCell ref="D150:I150"/>
    <mergeCell ref="J150:J151"/>
    <mergeCell ref="K150:K151"/>
    <mergeCell ref="L150:L151"/>
    <mergeCell ref="M150:M151"/>
    <mergeCell ref="D157:I158"/>
    <mergeCell ref="J157:K158"/>
    <mergeCell ref="L157:L158"/>
    <mergeCell ref="M157:Q157"/>
    <mergeCell ref="M158:Q158"/>
    <mergeCell ref="U150:U151"/>
    <mergeCell ref="D151:F151"/>
    <mergeCell ref="G151:I151"/>
    <mergeCell ref="D156:I156"/>
    <mergeCell ref="J156:K156"/>
    <mergeCell ref="M156:Q156"/>
    <mergeCell ref="N150:N151"/>
    <mergeCell ref="O150:O151"/>
    <mergeCell ref="Q150:Q151"/>
    <mergeCell ref="R150:R151"/>
    <mergeCell ref="S150:S151"/>
    <mergeCell ref="T150:T151"/>
    <mergeCell ref="G149:L149"/>
    <mergeCell ref="O149:R149"/>
    <mergeCell ref="B135:B136"/>
    <mergeCell ref="C135:C136"/>
    <mergeCell ref="D135:I135"/>
    <mergeCell ref="J135:J136"/>
    <mergeCell ref="K135:K136"/>
    <mergeCell ref="L135:L136"/>
    <mergeCell ref="M135:M136"/>
    <mergeCell ref="N135:N136"/>
    <mergeCell ref="O135:O136"/>
    <mergeCell ref="Q135:Q136"/>
    <mergeCell ref="B96:B97"/>
    <mergeCell ref="C96:C97"/>
    <mergeCell ref="B109:B110"/>
    <mergeCell ref="C109:C110"/>
    <mergeCell ref="B122:B123"/>
    <mergeCell ref="C122:C123"/>
    <mergeCell ref="D126:F126"/>
    <mergeCell ref="G126:I126"/>
    <mergeCell ref="D130:F130"/>
    <mergeCell ref="G130:I130"/>
    <mergeCell ref="D101:F101"/>
    <mergeCell ref="G101:I101"/>
    <mergeCell ref="D127:F127"/>
    <mergeCell ref="G127:I127"/>
    <mergeCell ref="D136:F136"/>
    <mergeCell ref="G136:I136"/>
    <mergeCell ref="D124:F124"/>
    <mergeCell ref="G124:I124"/>
    <mergeCell ref="D125:F125"/>
    <mergeCell ref="G125:I125"/>
    <mergeCell ref="D128:F128"/>
    <mergeCell ref="G128:I128"/>
    <mergeCell ref="R122:R123"/>
    <mergeCell ref="S122:S123"/>
    <mergeCell ref="T122:T123"/>
    <mergeCell ref="U122:U123"/>
    <mergeCell ref="T109:T110"/>
    <mergeCell ref="Q96:Q97"/>
    <mergeCell ref="D106:I107"/>
    <mergeCell ref="J106:K107"/>
    <mergeCell ref="L106:L107"/>
    <mergeCell ref="M106:Q106"/>
    <mergeCell ref="M107:Q107"/>
    <mergeCell ref="R96:R97"/>
    <mergeCell ref="S96:S97"/>
    <mergeCell ref="T96:T97"/>
    <mergeCell ref="D96:I96"/>
    <mergeCell ref="J96:J97"/>
    <mergeCell ref="K96:K97"/>
    <mergeCell ref="L96:L97"/>
    <mergeCell ref="M96:M97"/>
    <mergeCell ref="N96:N97"/>
    <mergeCell ref="O96:O97"/>
    <mergeCell ref="M120:Q120"/>
    <mergeCell ref="D115:F115"/>
    <mergeCell ref="G115:I115"/>
    <mergeCell ref="D103:F103"/>
    <mergeCell ref="G103:I103"/>
    <mergeCell ref="D116:F116"/>
    <mergeCell ref="G116:I116"/>
    <mergeCell ref="G139:I139"/>
    <mergeCell ref="D143:F143"/>
    <mergeCell ref="G143:I143"/>
    <mergeCell ref="D145:I146"/>
    <mergeCell ref="J145:K146"/>
    <mergeCell ref="L145:L146"/>
    <mergeCell ref="M145:Q145"/>
    <mergeCell ref="M146:Q146"/>
    <mergeCell ref="D109:I109"/>
    <mergeCell ref="J109:J110"/>
    <mergeCell ref="K109:K110"/>
    <mergeCell ref="L109:L110"/>
    <mergeCell ref="M109:M110"/>
    <mergeCell ref="N109:N110"/>
    <mergeCell ref="O109:O110"/>
    <mergeCell ref="Q109:Q110"/>
    <mergeCell ref="D122:I122"/>
    <mergeCell ref="M118:Q118"/>
    <mergeCell ref="D119:I120"/>
    <mergeCell ref="J119:K120"/>
    <mergeCell ref="L119:L120"/>
    <mergeCell ref="M119:Q119"/>
    <mergeCell ref="L122:L123"/>
    <mergeCell ref="M122:M123"/>
    <mergeCell ref="N122:N123"/>
    <mergeCell ref="O122:O123"/>
    <mergeCell ref="Q122:Q123"/>
    <mergeCell ref="D123:F123"/>
    <mergeCell ref="G123:I123"/>
    <mergeCell ref="D144:I144"/>
    <mergeCell ref="J144:K144"/>
    <mergeCell ref="M144:Q144"/>
    <mergeCell ref="R210:R211"/>
    <mergeCell ref="S210:S211"/>
    <mergeCell ref="M166:Q166"/>
    <mergeCell ref="D167:I168"/>
    <mergeCell ref="J167:K168"/>
    <mergeCell ref="L167:L168"/>
    <mergeCell ref="M167:Q167"/>
    <mergeCell ref="M168:Q168"/>
    <mergeCell ref="S200:S201"/>
    <mergeCell ref="T210:T211"/>
    <mergeCell ref="U210:U211"/>
    <mergeCell ref="D211:F211"/>
    <mergeCell ref="U109:U110"/>
    <mergeCell ref="D110:F110"/>
    <mergeCell ref="G110:I110"/>
    <mergeCell ref="D111:F111"/>
    <mergeCell ref="G111:I111"/>
    <mergeCell ref="D112:F112"/>
    <mergeCell ref="G112:I112"/>
    <mergeCell ref="D113:F113"/>
    <mergeCell ref="G113:I113"/>
    <mergeCell ref="D117:F117"/>
    <mergeCell ref="G117:I117"/>
    <mergeCell ref="D118:I118"/>
    <mergeCell ref="J118:K118"/>
    <mergeCell ref="D131:I131"/>
    <mergeCell ref="J131:K131"/>
    <mergeCell ref="M131:Q131"/>
    <mergeCell ref="D132:I133"/>
    <mergeCell ref="J132:K133"/>
    <mergeCell ref="L132:L133"/>
    <mergeCell ref="M132:Q132"/>
    <mergeCell ref="B170:B171"/>
    <mergeCell ref="C170:C171"/>
    <mergeCell ref="D170:I170"/>
    <mergeCell ref="J170:J171"/>
    <mergeCell ref="K170:K171"/>
    <mergeCell ref="L170:L171"/>
    <mergeCell ref="M170:M171"/>
    <mergeCell ref="N170:N171"/>
    <mergeCell ref="O170:O171"/>
    <mergeCell ref="B180:B181"/>
    <mergeCell ref="C180:C181"/>
    <mergeCell ref="D180:I180"/>
    <mergeCell ref="J180:J181"/>
    <mergeCell ref="K180:K181"/>
    <mergeCell ref="Q170:Q171"/>
    <mergeCell ref="U96:U97"/>
    <mergeCell ref="D97:F97"/>
    <mergeCell ref="G97:I97"/>
    <mergeCell ref="D98:F98"/>
    <mergeCell ref="G98:I98"/>
    <mergeCell ref="D99:F99"/>
    <mergeCell ref="G99:I99"/>
    <mergeCell ref="D100:F100"/>
    <mergeCell ref="G100:I100"/>
    <mergeCell ref="D104:F104"/>
    <mergeCell ref="G104:I104"/>
    <mergeCell ref="D105:I105"/>
    <mergeCell ref="J105:K105"/>
    <mergeCell ref="M105:Q105"/>
    <mergeCell ref="M133:Q133"/>
    <mergeCell ref="J122:J123"/>
    <mergeCell ref="K122:K123"/>
    <mergeCell ref="L227:L228"/>
    <mergeCell ref="M227:Q227"/>
    <mergeCell ref="M228:Q228"/>
    <mergeCell ref="G211:I211"/>
    <mergeCell ref="D216:I216"/>
    <mergeCell ref="J216:K216"/>
    <mergeCell ref="M216:Q216"/>
    <mergeCell ref="D217:I218"/>
    <mergeCell ref="J217:K218"/>
    <mergeCell ref="L217:L218"/>
    <mergeCell ref="M217:Q217"/>
    <mergeCell ref="M218:Q218"/>
    <mergeCell ref="B220:B221"/>
    <mergeCell ref="C220:C221"/>
    <mergeCell ref="D220:I220"/>
    <mergeCell ref="J220:J221"/>
    <mergeCell ref="K220:K221"/>
    <mergeCell ref="L220:L221"/>
    <mergeCell ref="M220:M221"/>
    <mergeCell ref="N220:N221"/>
    <mergeCell ref="O220:O221"/>
    <mergeCell ref="Q220:Q221"/>
    <mergeCell ref="K210:K211"/>
    <mergeCell ref="L210:L211"/>
    <mergeCell ref="M210:M211"/>
    <mergeCell ref="N210:N211"/>
    <mergeCell ref="O210:O211"/>
    <mergeCell ref="Q210:Q211"/>
    <mergeCell ref="D266:I266"/>
    <mergeCell ref="J266:K266"/>
    <mergeCell ref="M266:Q266"/>
    <mergeCell ref="D267:I268"/>
    <mergeCell ref="J267:K268"/>
    <mergeCell ref="L267:L268"/>
    <mergeCell ref="M267:Q267"/>
    <mergeCell ref="M268:Q268"/>
    <mergeCell ref="R250:R251"/>
    <mergeCell ref="S250:S251"/>
    <mergeCell ref="T250:T251"/>
    <mergeCell ref="U250:U251"/>
    <mergeCell ref="D251:F251"/>
    <mergeCell ref="G251:I251"/>
    <mergeCell ref="S230:S231"/>
    <mergeCell ref="T230:T231"/>
    <mergeCell ref="U230:U231"/>
    <mergeCell ref="D231:F231"/>
    <mergeCell ref="G231:I231"/>
    <mergeCell ref="D236:I236"/>
    <mergeCell ref="J236:K236"/>
    <mergeCell ref="M236:Q236"/>
    <mergeCell ref="D237:I238"/>
    <mergeCell ref="J237:K238"/>
    <mergeCell ref="L237:L238"/>
    <mergeCell ref="M237:Q237"/>
    <mergeCell ref="M238:Q238"/>
    <mergeCell ref="D240:I240"/>
    <mergeCell ref="J240:J241"/>
    <mergeCell ref="K240:K241"/>
    <mergeCell ref="L240:L241"/>
    <mergeCell ref="M240:M241"/>
    <mergeCell ref="B260:B261"/>
    <mergeCell ref="C260:C261"/>
    <mergeCell ref="D260:I260"/>
    <mergeCell ref="J260:J261"/>
    <mergeCell ref="K260:K261"/>
    <mergeCell ref="L260:L261"/>
    <mergeCell ref="D246:I246"/>
    <mergeCell ref="J246:K246"/>
    <mergeCell ref="M246:Q246"/>
    <mergeCell ref="D247:I248"/>
    <mergeCell ref="R160:R161"/>
    <mergeCell ref="S160:S161"/>
    <mergeCell ref="T160:T161"/>
    <mergeCell ref="U160:U161"/>
    <mergeCell ref="D161:F161"/>
    <mergeCell ref="G161:I161"/>
    <mergeCell ref="D166:I166"/>
    <mergeCell ref="J166:K166"/>
    <mergeCell ref="B240:B241"/>
    <mergeCell ref="C240:C241"/>
    <mergeCell ref="N240:N241"/>
    <mergeCell ref="B230:B231"/>
    <mergeCell ref="C230:C231"/>
    <mergeCell ref="D230:I230"/>
    <mergeCell ref="J230:J231"/>
    <mergeCell ref="K230:K231"/>
    <mergeCell ref="L230:L231"/>
    <mergeCell ref="M230:M231"/>
    <mergeCell ref="N230:N231"/>
    <mergeCell ref="O230:O231"/>
    <mergeCell ref="Q230:Q231"/>
    <mergeCell ref="P240:P241"/>
    <mergeCell ref="B160:B161"/>
    <mergeCell ref="C160:C161"/>
    <mergeCell ref="D160:I160"/>
    <mergeCell ref="J160:J161"/>
    <mergeCell ref="K160:K161"/>
    <mergeCell ref="L160:L161"/>
    <mergeCell ref="M160:M161"/>
    <mergeCell ref="N160:N161"/>
    <mergeCell ref="O160:O161"/>
    <mergeCell ref="Q160:Q161"/>
    <mergeCell ref="D256:I256"/>
    <mergeCell ref="J256:K256"/>
    <mergeCell ref="M256:Q256"/>
    <mergeCell ref="D257:I258"/>
    <mergeCell ref="J257:K258"/>
    <mergeCell ref="L257:L258"/>
    <mergeCell ref="M257:Q257"/>
    <mergeCell ref="M258:Q258"/>
    <mergeCell ref="B250:B251"/>
    <mergeCell ref="C250:C251"/>
    <mergeCell ref="D250:I250"/>
    <mergeCell ref="J250:J251"/>
    <mergeCell ref="K250:K251"/>
    <mergeCell ref="L250:L251"/>
    <mergeCell ref="M250:M251"/>
    <mergeCell ref="N250:N251"/>
    <mergeCell ref="Q250:Q251"/>
    <mergeCell ref="D221:F221"/>
    <mergeCell ref="G221:I221"/>
    <mergeCell ref="B210:B211"/>
    <mergeCell ref="C210:C211"/>
    <mergeCell ref="J227:K228"/>
    <mergeCell ref="S260:S261"/>
    <mergeCell ref="T260:T261"/>
    <mergeCell ref="U260:U261"/>
    <mergeCell ref="D261:F261"/>
    <mergeCell ref="G261:I261"/>
    <mergeCell ref="J190:J191"/>
    <mergeCell ref="K190:K191"/>
    <mergeCell ref="L190:L191"/>
    <mergeCell ref="M190:M191"/>
    <mergeCell ref="N190:N191"/>
    <mergeCell ref="J247:K248"/>
    <mergeCell ref="L247:L248"/>
    <mergeCell ref="M247:Q247"/>
    <mergeCell ref="M248:Q248"/>
    <mergeCell ref="Q240:Q241"/>
    <mergeCell ref="R240:R241"/>
    <mergeCell ref="S240:S241"/>
    <mergeCell ref="T240:T241"/>
    <mergeCell ref="U240:U241"/>
    <mergeCell ref="D241:F241"/>
    <mergeCell ref="G241:I241"/>
    <mergeCell ref="R230:R231"/>
    <mergeCell ref="R220:R221"/>
    <mergeCell ref="S220:S221"/>
    <mergeCell ref="T220:T221"/>
    <mergeCell ref="U220:U221"/>
    <mergeCell ref="D210:I210"/>
    <mergeCell ref="J210:J211"/>
    <mergeCell ref="D226:I226"/>
    <mergeCell ref="J226:K226"/>
    <mergeCell ref="M226:Q226"/>
    <mergeCell ref="D227:I228"/>
    <mergeCell ref="T170:T171"/>
    <mergeCell ref="U170:U171"/>
    <mergeCell ref="D171:F171"/>
    <mergeCell ref="G171:I171"/>
    <mergeCell ref="D176:I176"/>
    <mergeCell ref="J176:K176"/>
    <mergeCell ref="M176:Q176"/>
    <mergeCell ref="D177:I178"/>
    <mergeCell ref="J177:K178"/>
    <mergeCell ref="L177:L178"/>
    <mergeCell ref="M177:Q177"/>
    <mergeCell ref="M178:Q178"/>
    <mergeCell ref="S190:S191"/>
    <mergeCell ref="T190:T191"/>
    <mergeCell ref="U190:U191"/>
    <mergeCell ref="D191:F191"/>
    <mergeCell ref="G191:I191"/>
    <mergeCell ref="L180:L181"/>
    <mergeCell ref="M180:M181"/>
    <mergeCell ref="N180:N181"/>
    <mergeCell ref="O180:O181"/>
    <mergeCell ref="R180:R181"/>
    <mergeCell ref="S180:S181"/>
    <mergeCell ref="T180:T181"/>
    <mergeCell ref="U180:U181"/>
    <mergeCell ref="D181:F181"/>
    <mergeCell ref="G181:I181"/>
    <mergeCell ref="R170:R171"/>
    <mergeCell ref="S170:S171"/>
    <mergeCell ref="T200:T201"/>
    <mergeCell ref="U200:U201"/>
    <mergeCell ref="D201:F201"/>
    <mergeCell ref="G201:I201"/>
    <mergeCell ref="B190:B191"/>
    <mergeCell ref="C190:C191"/>
    <mergeCell ref="D190:I190"/>
    <mergeCell ref="D206:I206"/>
    <mergeCell ref="J206:K206"/>
    <mergeCell ref="M206:Q206"/>
    <mergeCell ref="D207:I208"/>
    <mergeCell ref="J207:K208"/>
    <mergeCell ref="L207:L208"/>
    <mergeCell ref="M207:Q207"/>
    <mergeCell ref="M208:Q208"/>
    <mergeCell ref="D196:I196"/>
    <mergeCell ref="J196:K196"/>
    <mergeCell ref="M196:Q196"/>
    <mergeCell ref="D197:I198"/>
    <mergeCell ref="J197:K198"/>
    <mergeCell ref="L197:L198"/>
    <mergeCell ref="M197:Q197"/>
    <mergeCell ref="M198:Q198"/>
    <mergeCell ref="B200:B201"/>
    <mergeCell ref="C200:C201"/>
    <mergeCell ref="D200:I200"/>
    <mergeCell ref="J200:J201"/>
    <mergeCell ref="K200:K201"/>
    <mergeCell ref="L200:L201"/>
    <mergeCell ref="M200:M201"/>
    <mergeCell ref="N200:N201"/>
    <mergeCell ref="G270:L270"/>
    <mergeCell ref="O270:R270"/>
    <mergeCell ref="B271:B272"/>
    <mergeCell ref="C271:C272"/>
    <mergeCell ref="D271:I271"/>
    <mergeCell ref="J271:J272"/>
    <mergeCell ref="K271:K272"/>
    <mergeCell ref="L271:L272"/>
    <mergeCell ref="M271:M272"/>
    <mergeCell ref="N271:N272"/>
    <mergeCell ref="O271:O272"/>
    <mergeCell ref="Q271:Q272"/>
    <mergeCell ref="R271:R272"/>
    <mergeCell ref="R190:R191"/>
    <mergeCell ref="D186:I186"/>
    <mergeCell ref="J186:K186"/>
    <mergeCell ref="M186:Q186"/>
    <mergeCell ref="D187:I188"/>
    <mergeCell ref="J187:K188"/>
    <mergeCell ref="L187:L188"/>
    <mergeCell ref="M187:Q187"/>
    <mergeCell ref="M188:Q188"/>
    <mergeCell ref="R200:R201"/>
    <mergeCell ref="O200:O201"/>
    <mergeCell ref="Q200:Q201"/>
    <mergeCell ref="O190:O191"/>
    <mergeCell ref="Q190:Q191"/>
    <mergeCell ref="M260:M261"/>
    <mergeCell ref="N260:N261"/>
    <mergeCell ref="O260:O261"/>
    <mergeCell ref="Q260:Q261"/>
    <mergeCell ref="R260:R261"/>
    <mergeCell ref="S271:S272"/>
    <mergeCell ref="T271:T272"/>
    <mergeCell ref="U271:U272"/>
    <mergeCell ref="D272:F272"/>
    <mergeCell ref="G272:I272"/>
    <mergeCell ref="D283:I283"/>
    <mergeCell ref="J283:K283"/>
    <mergeCell ref="M283:Q283"/>
    <mergeCell ref="D284:I285"/>
    <mergeCell ref="J284:K285"/>
    <mergeCell ref="L284:L285"/>
    <mergeCell ref="M284:Q284"/>
    <mergeCell ref="M285:Q285"/>
    <mergeCell ref="B287:B288"/>
    <mergeCell ref="C287:C288"/>
    <mergeCell ref="D287:I287"/>
    <mergeCell ref="J287:J288"/>
    <mergeCell ref="K287:K288"/>
    <mergeCell ref="L287:L288"/>
    <mergeCell ref="M287:M288"/>
    <mergeCell ref="N287:N288"/>
    <mergeCell ref="O287:O288"/>
    <mergeCell ref="Q287:Q288"/>
    <mergeCell ref="R287:R288"/>
    <mergeCell ref="S287:S288"/>
    <mergeCell ref="T287:T288"/>
    <mergeCell ref="U287:U288"/>
    <mergeCell ref="D288:F288"/>
    <mergeCell ref="G288:I288"/>
    <mergeCell ref="P271:P272"/>
    <mergeCell ref="O308:O309"/>
    <mergeCell ref="Q308:Q309"/>
    <mergeCell ref="R308:R309"/>
    <mergeCell ref="S308:S309"/>
    <mergeCell ref="T308:T309"/>
    <mergeCell ref="U308:U309"/>
    <mergeCell ref="D309:F309"/>
    <mergeCell ref="G309:I309"/>
    <mergeCell ref="D294:I294"/>
    <mergeCell ref="J294:K294"/>
    <mergeCell ref="M294:Q294"/>
    <mergeCell ref="D295:I296"/>
    <mergeCell ref="J295:K296"/>
    <mergeCell ref="L295:L296"/>
    <mergeCell ref="M295:Q295"/>
    <mergeCell ref="M296:Q296"/>
    <mergeCell ref="B298:B299"/>
    <mergeCell ref="C298:C299"/>
    <mergeCell ref="D298:I298"/>
    <mergeCell ref="J298:J299"/>
    <mergeCell ref="K298:K299"/>
    <mergeCell ref="L298:L299"/>
    <mergeCell ref="M298:M299"/>
    <mergeCell ref="N298:N299"/>
    <mergeCell ref="O298:O299"/>
    <mergeCell ref="Q298:Q299"/>
    <mergeCell ref="B318:B319"/>
    <mergeCell ref="C318:C319"/>
    <mergeCell ref="D318:I318"/>
    <mergeCell ref="J318:J319"/>
    <mergeCell ref="K318:K319"/>
    <mergeCell ref="L318:L319"/>
    <mergeCell ref="M318:M319"/>
    <mergeCell ref="N318:N319"/>
    <mergeCell ref="O318:O319"/>
    <mergeCell ref="Q318:Q319"/>
    <mergeCell ref="R298:R299"/>
    <mergeCell ref="S298:S299"/>
    <mergeCell ref="T298:T299"/>
    <mergeCell ref="U298:U299"/>
    <mergeCell ref="D299:F299"/>
    <mergeCell ref="G299:I299"/>
    <mergeCell ref="D304:I304"/>
    <mergeCell ref="J304:K304"/>
    <mergeCell ref="M304:Q304"/>
    <mergeCell ref="D305:I306"/>
    <mergeCell ref="J305:K306"/>
    <mergeCell ref="L305:L306"/>
    <mergeCell ref="M305:Q305"/>
    <mergeCell ref="M306:Q306"/>
    <mergeCell ref="B308:B309"/>
    <mergeCell ref="C308:C309"/>
    <mergeCell ref="D308:I308"/>
    <mergeCell ref="J308:J309"/>
    <mergeCell ref="K308:K309"/>
    <mergeCell ref="L308:L309"/>
    <mergeCell ref="M308:M309"/>
    <mergeCell ref="N308:N309"/>
    <mergeCell ref="R318:R319"/>
    <mergeCell ref="S318:S319"/>
    <mergeCell ref="T318:T319"/>
    <mergeCell ref="U318:U319"/>
    <mergeCell ref="D319:F319"/>
    <mergeCell ref="G319:I319"/>
    <mergeCell ref="D324:I324"/>
    <mergeCell ref="J324:K324"/>
    <mergeCell ref="M324:Q324"/>
    <mergeCell ref="D325:I326"/>
    <mergeCell ref="J325:K326"/>
    <mergeCell ref="L325:L326"/>
    <mergeCell ref="M325:Q325"/>
    <mergeCell ref="M326:Q326"/>
    <mergeCell ref="D314:I314"/>
    <mergeCell ref="J314:K314"/>
    <mergeCell ref="M314:Q314"/>
    <mergeCell ref="D315:I316"/>
    <mergeCell ref="J315:K316"/>
    <mergeCell ref="L315:L316"/>
    <mergeCell ref="M315:Q315"/>
    <mergeCell ref="M316:Q316"/>
    <mergeCell ref="S329:S330"/>
    <mergeCell ref="T329:T330"/>
    <mergeCell ref="U329:U330"/>
    <mergeCell ref="D330:F330"/>
    <mergeCell ref="G330:I330"/>
    <mergeCell ref="D345:I345"/>
    <mergeCell ref="J345:K345"/>
    <mergeCell ref="M345:Q345"/>
    <mergeCell ref="D346:I347"/>
    <mergeCell ref="J346:K347"/>
    <mergeCell ref="L346:L347"/>
    <mergeCell ref="M346:Q346"/>
    <mergeCell ref="M347:Q347"/>
    <mergeCell ref="G328:L328"/>
    <mergeCell ref="O328:R328"/>
    <mergeCell ref="B329:B330"/>
    <mergeCell ref="C329:C330"/>
    <mergeCell ref="D329:I329"/>
    <mergeCell ref="J329:J330"/>
    <mergeCell ref="K329:K330"/>
    <mergeCell ref="L329:L330"/>
    <mergeCell ref="M329:M330"/>
    <mergeCell ref="N329:N330"/>
    <mergeCell ref="O329:O330"/>
    <mergeCell ref="Q329:Q330"/>
    <mergeCell ref="R329:R330"/>
    <mergeCell ref="G349:L349"/>
    <mergeCell ref="O349:R349"/>
    <mergeCell ref="B350:B351"/>
    <mergeCell ref="C350:C351"/>
    <mergeCell ref="D350:I350"/>
    <mergeCell ref="J350:J351"/>
    <mergeCell ref="K350:K351"/>
    <mergeCell ref="L350:L351"/>
    <mergeCell ref="M350:M351"/>
    <mergeCell ref="N350:N351"/>
    <mergeCell ref="O350:O351"/>
    <mergeCell ref="Q350:Q351"/>
    <mergeCell ref="R350:R351"/>
    <mergeCell ref="S350:S351"/>
    <mergeCell ref="T350:T351"/>
    <mergeCell ref="U350:U351"/>
    <mergeCell ref="D351:F351"/>
    <mergeCell ref="G351:I351"/>
    <mergeCell ref="P350:P351"/>
    <mergeCell ref="D375:I375"/>
    <mergeCell ref="J375:K375"/>
    <mergeCell ref="M375:Q375"/>
    <mergeCell ref="D376:I377"/>
    <mergeCell ref="J376:K377"/>
    <mergeCell ref="L376:L377"/>
    <mergeCell ref="M376:Q376"/>
    <mergeCell ref="M377:Q377"/>
    <mergeCell ref="B379:B380"/>
    <mergeCell ref="C379:C380"/>
    <mergeCell ref="D379:I379"/>
    <mergeCell ref="J379:J380"/>
    <mergeCell ref="K379:K380"/>
    <mergeCell ref="L379:L380"/>
    <mergeCell ref="M379:M380"/>
    <mergeCell ref="N379:N380"/>
    <mergeCell ref="O379:O380"/>
    <mergeCell ref="Q379:Q380"/>
    <mergeCell ref="R379:R380"/>
    <mergeCell ref="S379:S380"/>
    <mergeCell ref="T379:T380"/>
    <mergeCell ref="U379:U380"/>
    <mergeCell ref="D380:F380"/>
    <mergeCell ref="G380:I380"/>
    <mergeCell ref="D385:I385"/>
    <mergeCell ref="J385:K385"/>
    <mergeCell ref="M385:Q385"/>
    <mergeCell ref="D386:I387"/>
    <mergeCell ref="J386:K387"/>
    <mergeCell ref="L386:L387"/>
    <mergeCell ref="M386:Q386"/>
    <mergeCell ref="M387:Q387"/>
    <mergeCell ref="B389:B390"/>
    <mergeCell ref="C389:C390"/>
    <mergeCell ref="D389:I389"/>
    <mergeCell ref="J389:J390"/>
    <mergeCell ref="K389:K390"/>
    <mergeCell ref="L389:L390"/>
    <mergeCell ref="M389:M390"/>
    <mergeCell ref="N389:N390"/>
    <mergeCell ref="O389:O390"/>
    <mergeCell ref="Q389:Q390"/>
    <mergeCell ref="R389:R390"/>
    <mergeCell ref="S389:S390"/>
    <mergeCell ref="T389:T390"/>
    <mergeCell ref="U389:U390"/>
    <mergeCell ref="D390:F390"/>
    <mergeCell ref="G390:I390"/>
    <mergeCell ref="D395:I395"/>
    <mergeCell ref="J395:K395"/>
    <mergeCell ref="M395:Q395"/>
    <mergeCell ref="D396:I397"/>
    <mergeCell ref="J396:K397"/>
    <mergeCell ref="L396:L397"/>
    <mergeCell ref="M396:Q396"/>
    <mergeCell ref="M397:Q397"/>
    <mergeCell ref="G409:L409"/>
    <mergeCell ref="O409:R409"/>
    <mergeCell ref="B410:B411"/>
    <mergeCell ref="C410:C411"/>
    <mergeCell ref="D410:I410"/>
    <mergeCell ref="J410:J411"/>
    <mergeCell ref="K410:K411"/>
    <mergeCell ref="L410:L411"/>
    <mergeCell ref="M410:M411"/>
    <mergeCell ref="N410:N411"/>
    <mergeCell ref="O410:O411"/>
    <mergeCell ref="Q410:Q411"/>
    <mergeCell ref="R410:R411"/>
    <mergeCell ref="B399:B400"/>
    <mergeCell ref="C399:C400"/>
    <mergeCell ref="D399:I399"/>
    <mergeCell ref="J399:J400"/>
    <mergeCell ref="K399:K400"/>
    <mergeCell ref="L399:L400"/>
    <mergeCell ref="M399:M400"/>
    <mergeCell ref="N399:N400"/>
    <mergeCell ref="O399:O400"/>
    <mergeCell ref="Q399:Q400"/>
    <mergeCell ref="R399:R400"/>
    <mergeCell ref="S410:S411"/>
    <mergeCell ref="T410:T411"/>
    <mergeCell ref="U410:U411"/>
    <mergeCell ref="D411:F411"/>
    <mergeCell ref="G411:I411"/>
    <mergeCell ref="D432:I432"/>
    <mergeCell ref="J432:K432"/>
    <mergeCell ref="M432:Q432"/>
    <mergeCell ref="D433:I434"/>
    <mergeCell ref="J433:K434"/>
    <mergeCell ref="L433:L434"/>
    <mergeCell ref="M433:Q433"/>
    <mergeCell ref="M434:Q434"/>
    <mergeCell ref="B436:B437"/>
    <mergeCell ref="C436:C437"/>
    <mergeCell ref="D436:I436"/>
    <mergeCell ref="J436:J437"/>
    <mergeCell ref="K436:K437"/>
    <mergeCell ref="L436:L437"/>
    <mergeCell ref="M436:M437"/>
    <mergeCell ref="N436:N437"/>
    <mergeCell ref="O436:O437"/>
    <mergeCell ref="Q436:Q437"/>
    <mergeCell ref="R436:R437"/>
    <mergeCell ref="S436:S437"/>
    <mergeCell ref="T436:T437"/>
    <mergeCell ref="U436:U437"/>
    <mergeCell ref="D437:F437"/>
    <mergeCell ref="G437:I437"/>
    <mergeCell ref="P410:P411"/>
    <mergeCell ref="D456:I456"/>
    <mergeCell ref="J456:K456"/>
    <mergeCell ref="M456:Q456"/>
    <mergeCell ref="D457:I458"/>
    <mergeCell ref="J457:K458"/>
    <mergeCell ref="L457:L458"/>
    <mergeCell ref="M457:Q457"/>
    <mergeCell ref="M458:Q458"/>
    <mergeCell ref="B460:B461"/>
    <mergeCell ref="C460:C461"/>
    <mergeCell ref="D460:I460"/>
    <mergeCell ref="J460:J461"/>
    <mergeCell ref="K460:K461"/>
    <mergeCell ref="L460:L461"/>
    <mergeCell ref="M460:M461"/>
    <mergeCell ref="N460:N461"/>
    <mergeCell ref="O460:O461"/>
    <mergeCell ref="Q460:Q461"/>
    <mergeCell ref="R460:R461"/>
    <mergeCell ref="S460:S461"/>
    <mergeCell ref="T460:T461"/>
    <mergeCell ref="U460:U461"/>
    <mergeCell ref="D461:F461"/>
    <mergeCell ref="G461:I461"/>
    <mergeCell ref="D466:I466"/>
    <mergeCell ref="J466:K466"/>
    <mergeCell ref="M466:Q466"/>
    <mergeCell ref="D467:I468"/>
    <mergeCell ref="J467:K468"/>
    <mergeCell ref="L467:L468"/>
    <mergeCell ref="M467:Q467"/>
    <mergeCell ref="M468:Q468"/>
    <mergeCell ref="B470:B471"/>
    <mergeCell ref="C470:C471"/>
    <mergeCell ref="D470:I470"/>
    <mergeCell ref="J470:J471"/>
    <mergeCell ref="K470:K471"/>
    <mergeCell ref="L470:L471"/>
    <mergeCell ref="M470:M471"/>
    <mergeCell ref="N470:N471"/>
    <mergeCell ref="O470:O471"/>
    <mergeCell ref="Q470:Q471"/>
    <mergeCell ref="R470:R471"/>
    <mergeCell ref="S470:S471"/>
    <mergeCell ref="T470:T471"/>
    <mergeCell ref="U470:U471"/>
    <mergeCell ref="D471:F471"/>
    <mergeCell ref="G471:I471"/>
    <mergeCell ref="B510:B511"/>
    <mergeCell ref="C510:C511"/>
    <mergeCell ref="D510:I510"/>
    <mergeCell ref="J510:J511"/>
    <mergeCell ref="K510:K511"/>
    <mergeCell ref="L510:L511"/>
    <mergeCell ref="M510:M511"/>
    <mergeCell ref="N510:N511"/>
    <mergeCell ref="O510:O511"/>
    <mergeCell ref="Q510:Q511"/>
    <mergeCell ref="R510:R511"/>
    <mergeCell ref="S510:S511"/>
    <mergeCell ref="T510:T511"/>
    <mergeCell ref="U510:U511"/>
    <mergeCell ref="D511:F511"/>
    <mergeCell ref="G511:I511"/>
    <mergeCell ref="D478:I478"/>
    <mergeCell ref="J478:K478"/>
    <mergeCell ref="M478:Q478"/>
    <mergeCell ref="D479:I480"/>
    <mergeCell ref="J479:K480"/>
    <mergeCell ref="L479:L480"/>
    <mergeCell ref="M479:Q479"/>
    <mergeCell ref="M480:Q480"/>
    <mergeCell ref="B482:B483"/>
    <mergeCell ref="C482:C483"/>
    <mergeCell ref="D482:I482"/>
    <mergeCell ref="J482:J483"/>
    <mergeCell ref="K482:K483"/>
    <mergeCell ref="L482:L483"/>
    <mergeCell ref="M482:M483"/>
    <mergeCell ref="N482:N483"/>
    <mergeCell ref="N538:N539"/>
    <mergeCell ref="O538:O539"/>
    <mergeCell ref="Q538:Q539"/>
    <mergeCell ref="R482:R483"/>
    <mergeCell ref="S482:S483"/>
    <mergeCell ref="T482:T483"/>
    <mergeCell ref="U482:U483"/>
    <mergeCell ref="D483:F483"/>
    <mergeCell ref="G483:I483"/>
    <mergeCell ref="D506:I506"/>
    <mergeCell ref="J506:K506"/>
    <mergeCell ref="M506:Q506"/>
    <mergeCell ref="D507:I508"/>
    <mergeCell ref="J507:K508"/>
    <mergeCell ref="L507:L508"/>
    <mergeCell ref="M507:Q507"/>
    <mergeCell ref="M508:Q508"/>
    <mergeCell ref="O482:O483"/>
    <mergeCell ref="Q482:Q483"/>
    <mergeCell ref="D538:I538"/>
    <mergeCell ref="J538:J539"/>
    <mergeCell ref="P510:P511"/>
    <mergeCell ref="P482:P483"/>
    <mergeCell ref="S571:S572"/>
    <mergeCell ref="T571:T572"/>
    <mergeCell ref="U571:U572"/>
    <mergeCell ref="D572:F572"/>
    <mergeCell ref="G572:I572"/>
    <mergeCell ref="D555:I555"/>
    <mergeCell ref="J555:K555"/>
    <mergeCell ref="M555:Q555"/>
    <mergeCell ref="D556:I557"/>
    <mergeCell ref="J556:K557"/>
    <mergeCell ref="L556:L557"/>
    <mergeCell ref="M556:Q556"/>
    <mergeCell ref="M557:Q557"/>
    <mergeCell ref="B559:B560"/>
    <mergeCell ref="C559:C560"/>
    <mergeCell ref="D559:I559"/>
    <mergeCell ref="J559:J560"/>
    <mergeCell ref="K559:K560"/>
    <mergeCell ref="L559:L560"/>
    <mergeCell ref="M559:M560"/>
    <mergeCell ref="N559:N560"/>
    <mergeCell ref="O559:O560"/>
    <mergeCell ref="Q559:Q560"/>
    <mergeCell ref="P571:P572"/>
    <mergeCell ref="M568:Q568"/>
    <mergeCell ref="U559:U560"/>
    <mergeCell ref="D560:F560"/>
    <mergeCell ref="G560:I560"/>
    <mergeCell ref="D567:I567"/>
    <mergeCell ref="J567:K567"/>
    <mergeCell ref="M567:Q567"/>
    <mergeCell ref="D568:I569"/>
    <mergeCell ref="M569:Q569"/>
    <mergeCell ref="B571:B572"/>
    <mergeCell ref="C571:C572"/>
    <mergeCell ref="D571:I571"/>
    <mergeCell ref="J571:J572"/>
    <mergeCell ref="K571:K572"/>
    <mergeCell ref="L571:L572"/>
    <mergeCell ref="M571:M572"/>
    <mergeCell ref="N571:N572"/>
    <mergeCell ref="O571:O572"/>
    <mergeCell ref="Q571:Q572"/>
    <mergeCell ref="R571:R572"/>
    <mergeCell ref="P581:P582"/>
    <mergeCell ref="L578:L579"/>
    <mergeCell ref="M578:Q578"/>
    <mergeCell ref="M579:Q579"/>
    <mergeCell ref="B581:B582"/>
    <mergeCell ref="C581:C582"/>
    <mergeCell ref="D581:I581"/>
    <mergeCell ref="J581:J582"/>
    <mergeCell ref="K581:K582"/>
    <mergeCell ref="L581:L582"/>
    <mergeCell ref="M581:M582"/>
    <mergeCell ref="N581:N582"/>
    <mergeCell ref="O581:O582"/>
    <mergeCell ref="Q581:Q582"/>
    <mergeCell ref="G582:I582"/>
    <mergeCell ref="J568:K569"/>
    <mergeCell ref="L568:L569"/>
    <mergeCell ref="D582:F582"/>
    <mergeCell ref="M589:Q589"/>
    <mergeCell ref="B591:B592"/>
    <mergeCell ref="C591:C592"/>
    <mergeCell ref="D591:I591"/>
    <mergeCell ref="J591:J592"/>
    <mergeCell ref="K591:K592"/>
    <mergeCell ref="L591:L592"/>
    <mergeCell ref="M591:M592"/>
    <mergeCell ref="N591:N592"/>
    <mergeCell ref="G592:I592"/>
    <mergeCell ref="O591:O592"/>
    <mergeCell ref="Q591:Q592"/>
    <mergeCell ref="B601:B602"/>
    <mergeCell ref="C601:C602"/>
    <mergeCell ref="D601:I601"/>
    <mergeCell ref="J601:J602"/>
    <mergeCell ref="K601:K602"/>
    <mergeCell ref="L601:L602"/>
    <mergeCell ref="M601:M602"/>
    <mergeCell ref="N601:N602"/>
    <mergeCell ref="O601:O602"/>
    <mergeCell ref="P601:P602"/>
    <mergeCell ref="Q601:Q602"/>
    <mergeCell ref="D592:F592"/>
    <mergeCell ref="P591:P592"/>
    <mergeCell ref="R559:R560"/>
    <mergeCell ref="S559:S560"/>
    <mergeCell ref="T559:T560"/>
    <mergeCell ref="R601:R602"/>
    <mergeCell ref="S601:S602"/>
    <mergeCell ref="T601:T602"/>
    <mergeCell ref="U601:U602"/>
    <mergeCell ref="D602:F602"/>
    <mergeCell ref="G602:I602"/>
    <mergeCell ref="D611:I611"/>
    <mergeCell ref="J611:K611"/>
    <mergeCell ref="M611:Q611"/>
    <mergeCell ref="D612:I613"/>
    <mergeCell ref="J612:K613"/>
    <mergeCell ref="L612:L613"/>
    <mergeCell ref="M612:Q612"/>
    <mergeCell ref="M613:Q613"/>
    <mergeCell ref="D597:I597"/>
    <mergeCell ref="J597:K597"/>
    <mergeCell ref="M597:Q597"/>
    <mergeCell ref="D598:I599"/>
    <mergeCell ref="J598:K599"/>
    <mergeCell ref="L598:L599"/>
    <mergeCell ref="M598:Q598"/>
    <mergeCell ref="M599:Q599"/>
    <mergeCell ref="D587:I587"/>
    <mergeCell ref="J587:K587"/>
    <mergeCell ref="M587:Q587"/>
    <mergeCell ref="D588:I589"/>
    <mergeCell ref="J588:K589"/>
    <mergeCell ref="L588:L589"/>
    <mergeCell ref="M588:Q588"/>
    <mergeCell ref="B538:B539"/>
    <mergeCell ref="C538:C539"/>
    <mergeCell ref="L538:L539"/>
    <mergeCell ref="M538:M539"/>
    <mergeCell ref="R591:R592"/>
    <mergeCell ref="S591:S592"/>
    <mergeCell ref="T591:T592"/>
    <mergeCell ref="U591:U592"/>
    <mergeCell ref="D577:I577"/>
    <mergeCell ref="J577:K577"/>
    <mergeCell ref="M577:Q577"/>
    <mergeCell ref="D578:I579"/>
    <mergeCell ref="J578:K579"/>
    <mergeCell ref="K538:K539"/>
    <mergeCell ref="G549:I549"/>
    <mergeCell ref="D549:F549"/>
    <mergeCell ref="U548:U549"/>
    <mergeCell ref="T548:T549"/>
    <mergeCell ref="S548:S549"/>
    <mergeCell ref="R548:R549"/>
    <mergeCell ref="Q548:Q549"/>
    <mergeCell ref="O548:O549"/>
    <mergeCell ref="N548:N549"/>
    <mergeCell ref="M548:M549"/>
    <mergeCell ref="L548:L549"/>
    <mergeCell ref="K548:K549"/>
    <mergeCell ref="J548:J549"/>
    <mergeCell ref="D548:I548"/>
    <mergeCell ref="R581:R582"/>
    <mergeCell ref="S581:S582"/>
    <mergeCell ref="T581:T582"/>
    <mergeCell ref="U581:U582"/>
    <mergeCell ref="O250:O251"/>
    <mergeCell ref="D141:F141"/>
    <mergeCell ref="G141:I141"/>
    <mergeCell ref="D102:F102"/>
    <mergeCell ref="G102:I102"/>
    <mergeCell ref="C548:C549"/>
    <mergeCell ref="B548:B549"/>
    <mergeCell ref="D138:F138"/>
    <mergeCell ref="G138:I138"/>
    <mergeCell ref="D139:F139"/>
    <mergeCell ref="R538:R539"/>
    <mergeCell ref="S538:S539"/>
    <mergeCell ref="T538:T539"/>
    <mergeCell ref="U538:U539"/>
    <mergeCell ref="D539:F539"/>
    <mergeCell ref="G539:I539"/>
    <mergeCell ref="D544:I544"/>
    <mergeCell ref="J544:K544"/>
    <mergeCell ref="M544:Q544"/>
    <mergeCell ref="D545:I546"/>
    <mergeCell ref="J545:K546"/>
    <mergeCell ref="L545:L546"/>
    <mergeCell ref="M545:Q545"/>
    <mergeCell ref="M546:Q546"/>
    <mergeCell ref="D534:I534"/>
    <mergeCell ref="J534:K534"/>
    <mergeCell ref="M534:Q534"/>
    <mergeCell ref="D535:I536"/>
    <mergeCell ref="J535:K536"/>
    <mergeCell ref="L535:L536"/>
    <mergeCell ref="M535:Q535"/>
    <mergeCell ref="M536:Q536"/>
  </mergeCells>
  <phoneticPr fontId="103" type="noConversion"/>
  <conditionalFormatting sqref="J22:K24">
    <cfRule type="cellIs" dxfId="169" priority="1099" operator="greaterThanOrEqual">
      <formula>1</formula>
    </cfRule>
    <cfRule type="cellIs" dxfId="168" priority="1100" operator="greaterThan">
      <formula>100%</formula>
    </cfRule>
  </conditionalFormatting>
  <conditionalFormatting sqref="J32:K34">
    <cfRule type="cellIs" dxfId="167" priority="1098" operator="greaterThan">
      <formula>100%</formula>
    </cfRule>
    <cfRule type="cellIs" dxfId="166" priority="1097" operator="greaterThanOrEqual">
      <formula>1</formula>
    </cfRule>
  </conditionalFormatting>
  <conditionalFormatting sqref="J42:K44">
    <cfRule type="cellIs" dxfId="165" priority="1095" operator="greaterThanOrEqual">
      <formula>1</formula>
    </cfRule>
    <cfRule type="cellIs" dxfId="164" priority="1096" operator="greaterThan">
      <formula>100%</formula>
    </cfRule>
  </conditionalFormatting>
  <conditionalFormatting sqref="J52:K54">
    <cfRule type="cellIs" dxfId="163" priority="1094" operator="greaterThan">
      <formula>100%</formula>
    </cfRule>
    <cfRule type="cellIs" dxfId="162" priority="1093" operator="greaterThanOrEqual">
      <formula>1</formula>
    </cfRule>
  </conditionalFormatting>
  <conditionalFormatting sqref="J62:K64">
    <cfRule type="cellIs" dxfId="161" priority="1092" operator="greaterThan">
      <formula>100%</formula>
    </cfRule>
    <cfRule type="cellIs" dxfId="160" priority="1091" operator="greaterThanOrEqual">
      <formula>1</formula>
    </cfRule>
  </conditionalFormatting>
  <conditionalFormatting sqref="J72:K74">
    <cfRule type="cellIs" dxfId="159" priority="241" operator="greaterThanOrEqual">
      <formula>1</formula>
    </cfRule>
    <cfRule type="cellIs" dxfId="158" priority="242" operator="greaterThan">
      <formula>100%</formula>
    </cfRule>
  </conditionalFormatting>
  <conditionalFormatting sqref="J82:K84">
    <cfRule type="cellIs" dxfId="157" priority="240" operator="greaterThan">
      <formula>100%</formula>
    </cfRule>
    <cfRule type="cellIs" dxfId="156" priority="239" operator="greaterThanOrEqual">
      <formula>1</formula>
    </cfRule>
  </conditionalFormatting>
  <conditionalFormatting sqref="J93:K95">
    <cfRule type="cellIs" dxfId="155" priority="266" operator="greaterThan">
      <formula>100%</formula>
    </cfRule>
    <cfRule type="cellIs" dxfId="154" priority="265" operator="greaterThanOrEqual">
      <formula>1</formula>
    </cfRule>
  </conditionalFormatting>
  <conditionalFormatting sqref="J106:K108">
    <cfRule type="cellIs" dxfId="153" priority="224" operator="greaterThan">
      <formula>100%</formula>
    </cfRule>
    <cfRule type="cellIs" dxfId="152" priority="223" operator="greaterThanOrEqual">
      <formula>1</formula>
    </cfRule>
  </conditionalFormatting>
  <conditionalFormatting sqref="J119:K121">
    <cfRule type="cellIs" dxfId="151" priority="228" operator="greaterThan">
      <formula>100%</formula>
    </cfRule>
    <cfRule type="cellIs" dxfId="150" priority="227" operator="greaterThanOrEqual">
      <formula>1</formula>
    </cfRule>
  </conditionalFormatting>
  <conditionalFormatting sqref="J132:K134">
    <cfRule type="cellIs" dxfId="149" priority="232" operator="greaterThan">
      <formula>100%</formula>
    </cfRule>
    <cfRule type="cellIs" dxfId="148" priority="231" operator="greaterThanOrEqual">
      <formula>1</formula>
    </cfRule>
  </conditionalFormatting>
  <conditionalFormatting sqref="J145:K147">
    <cfRule type="cellIs" dxfId="147" priority="236" operator="greaterThan">
      <formula>100%</formula>
    </cfRule>
    <cfRule type="cellIs" dxfId="146" priority="235" operator="greaterThanOrEqual">
      <formula>1</formula>
    </cfRule>
  </conditionalFormatting>
  <conditionalFormatting sqref="J157:K159">
    <cfRule type="cellIs" dxfId="145" priority="1076" operator="greaterThan">
      <formula>100%</formula>
    </cfRule>
    <cfRule type="cellIs" dxfId="144" priority="1075" operator="greaterThanOrEqual">
      <formula>1</formula>
    </cfRule>
  </conditionalFormatting>
  <conditionalFormatting sqref="J167:K169">
    <cfRule type="cellIs" dxfId="143" priority="207" operator="greaterThanOrEqual">
      <formula>1</formula>
    </cfRule>
    <cfRule type="cellIs" dxfId="142" priority="208" operator="greaterThan">
      <formula>100%</formula>
    </cfRule>
  </conditionalFormatting>
  <conditionalFormatting sqref="J177:K179">
    <cfRule type="cellIs" dxfId="141" priority="206" operator="greaterThan">
      <formula>100%</formula>
    </cfRule>
    <cfRule type="cellIs" dxfId="140" priority="205" operator="greaterThanOrEqual">
      <formula>1</formula>
    </cfRule>
  </conditionalFormatting>
  <conditionalFormatting sqref="J187:K189">
    <cfRule type="cellIs" dxfId="139" priority="204" operator="greaterThan">
      <formula>100%</formula>
    </cfRule>
    <cfRule type="cellIs" dxfId="138" priority="203" operator="greaterThanOrEqual">
      <formula>1</formula>
    </cfRule>
  </conditionalFormatting>
  <conditionalFormatting sqref="J197:K199">
    <cfRule type="cellIs" dxfId="137" priority="202" operator="greaterThan">
      <formula>100%</formula>
    </cfRule>
    <cfRule type="cellIs" dxfId="136" priority="201" operator="greaterThanOrEqual">
      <formula>1</formula>
    </cfRule>
  </conditionalFormatting>
  <conditionalFormatting sqref="J207:K209">
    <cfRule type="cellIs" dxfId="135" priority="200" operator="greaterThan">
      <formula>100%</formula>
    </cfRule>
    <cfRule type="cellIs" dxfId="134" priority="199" operator="greaterThanOrEqual">
      <formula>1</formula>
    </cfRule>
  </conditionalFormatting>
  <conditionalFormatting sqref="J217:K219">
    <cfRule type="cellIs" dxfId="133" priority="222" operator="greaterThan">
      <formula>100%</formula>
    </cfRule>
    <cfRule type="cellIs" dxfId="132" priority="221" operator="greaterThanOrEqual">
      <formula>1</formula>
    </cfRule>
  </conditionalFormatting>
  <conditionalFormatting sqref="J227:K229">
    <cfRule type="cellIs" dxfId="131" priority="220" operator="greaterThan">
      <formula>100%</formula>
    </cfRule>
    <cfRule type="cellIs" dxfId="130" priority="219" operator="greaterThanOrEqual">
      <formula>1</formula>
    </cfRule>
  </conditionalFormatting>
  <conditionalFormatting sqref="J237:K239">
    <cfRule type="cellIs" dxfId="129" priority="217" operator="greaterThanOrEqual">
      <formula>1</formula>
    </cfRule>
    <cfRule type="cellIs" dxfId="128" priority="218" operator="greaterThan">
      <formula>100%</formula>
    </cfRule>
  </conditionalFormatting>
  <conditionalFormatting sqref="J247:K249">
    <cfRule type="cellIs" dxfId="127" priority="216" operator="greaterThan">
      <formula>100%</formula>
    </cfRule>
    <cfRule type="cellIs" dxfId="126" priority="215" operator="greaterThanOrEqual">
      <formula>1</formula>
    </cfRule>
  </conditionalFormatting>
  <conditionalFormatting sqref="J257:K259">
    <cfRule type="cellIs" dxfId="125" priority="214" operator="greaterThan">
      <formula>100%</formula>
    </cfRule>
    <cfRule type="cellIs" dxfId="124" priority="213" operator="greaterThanOrEqual">
      <formula>1</formula>
    </cfRule>
  </conditionalFormatting>
  <conditionalFormatting sqref="J267:K269">
    <cfRule type="cellIs" dxfId="123" priority="1" operator="greaterThanOrEqual">
      <formula>1</formula>
    </cfRule>
    <cfRule type="cellIs" dxfId="122" priority="2" operator="greaterThan">
      <formula>100%</formula>
    </cfRule>
  </conditionalFormatting>
  <conditionalFormatting sqref="J284:K286">
    <cfRule type="cellIs" dxfId="121" priority="198" operator="greaterThan">
      <formula>100%</formula>
    </cfRule>
    <cfRule type="cellIs" dxfId="120" priority="197" operator="greaterThanOrEqual">
      <formula>1</formula>
    </cfRule>
  </conditionalFormatting>
  <conditionalFormatting sqref="J295:K297">
    <cfRule type="cellIs" dxfId="119" priority="188" operator="greaterThan">
      <formula>100%</formula>
    </cfRule>
    <cfRule type="cellIs" dxfId="118" priority="187" operator="greaterThanOrEqual">
      <formula>1</formula>
    </cfRule>
  </conditionalFormatting>
  <conditionalFormatting sqref="J305:K307">
    <cfRule type="cellIs" dxfId="117" priority="186" operator="greaterThan">
      <formula>100%</formula>
    </cfRule>
    <cfRule type="cellIs" dxfId="116" priority="185" operator="greaterThanOrEqual">
      <formula>1</formula>
    </cfRule>
  </conditionalFormatting>
  <conditionalFormatting sqref="J315:K317">
    <cfRule type="cellIs" dxfId="115" priority="184" operator="greaterThan">
      <formula>100%</formula>
    </cfRule>
    <cfRule type="cellIs" dxfId="114" priority="183" operator="greaterThanOrEqual">
      <formula>1</formula>
    </cfRule>
  </conditionalFormatting>
  <conditionalFormatting sqref="J325:K327">
    <cfRule type="cellIs" dxfId="113" priority="182" operator="greaterThan">
      <formula>100%</formula>
    </cfRule>
    <cfRule type="cellIs" dxfId="112" priority="181" operator="greaterThanOrEqual">
      <formula>1</formula>
    </cfRule>
  </conditionalFormatting>
  <conditionalFormatting sqref="J346:K348">
    <cfRule type="cellIs" dxfId="111" priority="178" operator="greaterThan">
      <formula>100%</formula>
    </cfRule>
    <cfRule type="cellIs" dxfId="110" priority="177" operator="greaterThanOrEqual">
      <formula>1</formula>
    </cfRule>
  </conditionalFormatting>
  <conditionalFormatting sqref="J376:K378">
    <cfRule type="cellIs" dxfId="109" priority="171" operator="greaterThanOrEqual">
      <formula>1</formula>
    </cfRule>
    <cfRule type="cellIs" dxfId="108" priority="172" operator="greaterThan">
      <formula>100%</formula>
    </cfRule>
  </conditionalFormatting>
  <conditionalFormatting sqref="J386:K388">
    <cfRule type="cellIs" dxfId="107" priority="170" operator="greaterThan">
      <formula>100%</formula>
    </cfRule>
    <cfRule type="cellIs" dxfId="106" priority="169" operator="greaterThanOrEqual">
      <formula>1</formula>
    </cfRule>
  </conditionalFormatting>
  <conditionalFormatting sqref="J396:K398 J406:K408">
    <cfRule type="cellIs" dxfId="105" priority="168" operator="greaterThan">
      <formula>100%</formula>
    </cfRule>
    <cfRule type="cellIs" dxfId="104" priority="167" operator="greaterThanOrEqual">
      <formula>1</formula>
    </cfRule>
  </conditionalFormatting>
  <conditionalFormatting sqref="J433:K435">
    <cfRule type="cellIs" dxfId="103" priority="166" operator="greaterThan">
      <formula>100%</formula>
    </cfRule>
    <cfRule type="cellIs" dxfId="102" priority="165" operator="greaterThanOrEqual">
      <formula>1</formula>
    </cfRule>
  </conditionalFormatting>
  <conditionalFormatting sqref="J457:K459">
    <cfRule type="cellIs" dxfId="101" priority="162" operator="greaterThan">
      <formula>100%</formula>
    </cfRule>
    <cfRule type="cellIs" dxfId="100" priority="161" operator="greaterThanOrEqual">
      <formula>1</formula>
    </cfRule>
  </conditionalFormatting>
  <conditionalFormatting sqref="J467:K469">
    <cfRule type="cellIs" dxfId="99" priority="160" operator="greaterThan">
      <formula>100%</formula>
    </cfRule>
    <cfRule type="cellIs" dxfId="98" priority="159" operator="greaterThanOrEqual">
      <formula>1</formula>
    </cfRule>
  </conditionalFormatting>
  <conditionalFormatting sqref="J479:K481">
    <cfRule type="cellIs" dxfId="97" priority="157" operator="greaterThanOrEqual">
      <formula>1</formula>
    </cfRule>
    <cfRule type="cellIs" dxfId="96" priority="158" operator="greaterThan">
      <formula>100%</formula>
    </cfRule>
  </conditionalFormatting>
  <conditionalFormatting sqref="J507:K509">
    <cfRule type="cellIs" dxfId="95" priority="155" operator="greaterThanOrEqual">
      <formula>1</formula>
    </cfRule>
    <cfRule type="cellIs" dxfId="94" priority="156" operator="greaterThan">
      <formula>100%</formula>
    </cfRule>
  </conditionalFormatting>
  <conditionalFormatting sqref="J535:K537">
    <cfRule type="cellIs" dxfId="93" priority="154" operator="greaterThan">
      <formula>100%</formula>
    </cfRule>
    <cfRule type="cellIs" dxfId="92" priority="153" operator="greaterThanOrEqual">
      <formula>1</formula>
    </cfRule>
  </conditionalFormatting>
  <conditionalFormatting sqref="J545:K547">
    <cfRule type="cellIs" dxfId="91" priority="164" operator="greaterThan">
      <formula>100%</formula>
    </cfRule>
    <cfRule type="cellIs" dxfId="90" priority="163" operator="greaterThanOrEqual">
      <formula>1</formula>
    </cfRule>
  </conditionalFormatting>
  <conditionalFormatting sqref="J556:K558">
    <cfRule type="cellIs" dxfId="89" priority="152" operator="greaterThan">
      <formula>100%</formula>
    </cfRule>
    <cfRule type="cellIs" dxfId="88" priority="151" operator="greaterThanOrEqual">
      <formula>1</formula>
    </cfRule>
  </conditionalFormatting>
  <conditionalFormatting sqref="J568:K570">
    <cfRule type="cellIs" dxfId="87" priority="136" operator="greaterThan">
      <formula>100%</formula>
    </cfRule>
    <cfRule type="cellIs" dxfId="86" priority="135" operator="greaterThanOrEqual">
      <formula>1</formula>
    </cfRule>
  </conditionalFormatting>
  <conditionalFormatting sqref="J578:K580">
    <cfRule type="cellIs" dxfId="85" priority="134" operator="greaterThan">
      <formula>100%</formula>
    </cfRule>
    <cfRule type="cellIs" dxfId="84" priority="133" operator="greaterThanOrEqual">
      <formula>1</formula>
    </cfRule>
  </conditionalFormatting>
  <conditionalFormatting sqref="J588:K590">
    <cfRule type="cellIs" dxfId="83" priority="132" operator="greaterThan">
      <formula>100%</formula>
    </cfRule>
    <cfRule type="cellIs" dxfId="82" priority="131" operator="greaterThanOrEqual">
      <formula>1</formula>
    </cfRule>
  </conditionalFormatting>
  <conditionalFormatting sqref="J598:K600">
    <cfRule type="cellIs" dxfId="81" priority="130" operator="greaterThan">
      <formula>100%</formula>
    </cfRule>
    <cfRule type="cellIs" dxfId="80" priority="129" operator="greaterThanOrEqual">
      <formula>1</formula>
    </cfRule>
  </conditionalFormatting>
  <conditionalFormatting sqref="J612:K614">
    <cfRule type="cellIs" dxfId="79" priority="128" operator="greaterThan">
      <formula>100%</formula>
    </cfRule>
    <cfRule type="cellIs" dxfId="78" priority="127" operator="greaterThanOrEqual">
      <formula>1</formula>
    </cfRule>
  </conditionalFormatting>
  <conditionalFormatting sqref="J624:K626">
    <cfRule type="cellIs" dxfId="77" priority="30" operator="greaterThan">
      <formula>100%</formula>
    </cfRule>
    <cfRule type="cellIs" dxfId="76" priority="29" operator="greaterThanOrEqual">
      <formula>1</formula>
    </cfRule>
  </conditionalFormatting>
  <conditionalFormatting sqref="J641:K643">
    <cfRule type="cellIs" dxfId="75" priority="28" operator="greaterThan">
      <formula>100%</formula>
    </cfRule>
    <cfRule type="cellIs" dxfId="74" priority="27" operator="greaterThanOrEqual">
      <formula>1</formula>
    </cfRule>
  </conditionalFormatting>
  <conditionalFormatting sqref="J657:K659">
    <cfRule type="cellIs" dxfId="73" priority="23" operator="greaterThanOrEqual">
      <formula>1</formula>
    </cfRule>
    <cfRule type="cellIs" dxfId="72" priority="24" operator="greaterThan">
      <formula>100%</formula>
    </cfRule>
  </conditionalFormatting>
  <conditionalFormatting sqref="J667:K669">
    <cfRule type="cellIs" dxfId="71" priority="22" operator="greaterThan">
      <formula>100%</formula>
    </cfRule>
    <cfRule type="cellIs" dxfId="70" priority="21" operator="greaterThanOrEqual">
      <formula>1</formula>
    </cfRule>
  </conditionalFormatting>
  <conditionalFormatting sqref="J681:K683">
    <cfRule type="cellIs" dxfId="69" priority="20" operator="greaterThan">
      <formula>100%</formula>
    </cfRule>
    <cfRule type="cellIs" dxfId="68" priority="19" operator="greaterThanOrEqual">
      <formula>1</formula>
    </cfRule>
  </conditionalFormatting>
  <conditionalFormatting sqref="J737:K739">
    <cfRule type="cellIs" dxfId="67" priority="18" operator="greaterThan">
      <formula>100%</formula>
    </cfRule>
    <cfRule type="cellIs" dxfId="66" priority="17" operator="greaterThanOrEqual">
      <formula>1</formula>
    </cfRule>
  </conditionalFormatting>
  <conditionalFormatting sqref="J747:K749">
    <cfRule type="cellIs" dxfId="65" priority="16" operator="greaterThan">
      <formula>100%</formula>
    </cfRule>
    <cfRule type="cellIs" dxfId="64" priority="15" operator="greaterThanOrEqual">
      <formula>1</formula>
    </cfRule>
  </conditionalFormatting>
  <conditionalFormatting sqref="J757:K759">
    <cfRule type="cellIs" dxfId="63" priority="26" operator="greaterThan">
      <formula>100%</formula>
    </cfRule>
    <cfRule type="cellIs" dxfId="62" priority="25" operator="greaterThanOrEqual">
      <formula>1</formula>
    </cfRule>
  </conditionalFormatting>
  <conditionalFormatting sqref="J768:K770">
    <cfRule type="cellIs" dxfId="61" priority="14" operator="greaterThan">
      <formula>100%</formula>
    </cfRule>
    <cfRule type="cellIs" dxfId="60" priority="13" operator="greaterThanOrEqual">
      <formula>1</formula>
    </cfRule>
  </conditionalFormatting>
  <conditionalFormatting sqref="J778:K780">
    <cfRule type="cellIs" dxfId="59" priority="12" operator="greaterThan">
      <formula>100%</formula>
    </cfRule>
    <cfRule type="cellIs" dxfId="58" priority="11" operator="greaterThanOrEqual">
      <formula>1</formula>
    </cfRule>
  </conditionalFormatting>
  <conditionalFormatting sqref="J822:K824">
    <cfRule type="cellIs" dxfId="57" priority="10" operator="greaterThan">
      <formula>100%</formula>
    </cfRule>
    <cfRule type="cellIs" dxfId="56" priority="9" operator="greaterThanOrEqual">
      <formula>1</formula>
    </cfRule>
  </conditionalFormatting>
  <conditionalFormatting sqref="J832:K834">
    <cfRule type="cellIs" dxfId="55" priority="8" operator="greaterThan">
      <formula>100%</formula>
    </cfRule>
    <cfRule type="cellIs" dxfId="54" priority="7" operator="greaterThanOrEqual">
      <formula>1</formula>
    </cfRule>
  </conditionalFormatting>
  <conditionalFormatting sqref="J846:K848">
    <cfRule type="cellIs" dxfId="53" priority="6" operator="greaterThan">
      <formula>100%</formula>
    </cfRule>
    <cfRule type="cellIs" dxfId="52" priority="5" operator="greaterThanOrEqual">
      <formula>1</formula>
    </cfRule>
  </conditionalFormatting>
  <conditionalFormatting sqref="J871:K873">
    <cfRule type="cellIs" dxfId="51" priority="4" operator="greaterThan">
      <formula>100%</formula>
    </cfRule>
    <cfRule type="cellIs" dxfId="50" priority="3" operator="greaterThanOrEqual">
      <formula>1</formula>
    </cfRule>
  </conditionalFormatting>
  <printOptions horizontalCentered="1"/>
  <pageMargins left="0.19685039370078741" right="0.19685039370078741" top="0.78740157480314965" bottom="0.59055118110236227" header="0" footer="0.31496062992125984"/>
  <pageSetup paperSize="9" scale="47" firstPageNumber="28" fitToHeight="0" orientation="landscape" r:id="rId1"/>
  <rowBreaks count="14" manualBreakCount="14">
    <brk id="95" min="1" max="20" man="1"/>
    <brk id="179" min="1" max="20" man="1"/>
    <brk id="259" min="1" max="20" man="1"/>
    <brk id="286" min="1" max="20" man="1"/>
    <brk id="349" min="1" max="20" man="1"/>
    <brk id="388" min="1" max="20" man="1"/>
    <brk id="435" min="1" max="20" man="1"/>
    <brk id="481" min="1" max="20" man="1"/>
    <brk id="509" min="1" max="20" man="1"/>
    <brk id="600" min="1" max="20" man="1"/>
    <brk id="643" min="1" max="20" man="1"/>
    <brk id="770" min="1" max="20" man="1"/>
    <brk id="824" min="1" max="20" man="1"/>
    <brk id="848" min="1" max="2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H397"/>
  <sheetViews>
    <sheetView view="pageBreakPreview" topLeftCell="A16" zoomScale="90" zoomScaleNormal="80" zoomScaleSheetLayoutView="90" workbookViewId="0">
      <selection activeCell="J11" sqref="J11"/>
    </sheetView>
  </sheetViews>
  <sheetFormatPr defaultColWidth="9.140625" defaultRowHeight="15"/>
  <cols>
    <col min="1" max="1" width="41.5703125" style="697" customWidth="1"/>
    <col min="2" max="2" width="12.7109375" style="697" bestFit="1" customWidth="1"/>
    <col min="3" max="3" width="54.140625" style="698" bestFit="1" customWidth="1"/>
    <col min="4" max="4" width="54" style="698" customWidth="1"/>
    <col min="5" max="16384" width="9.140625" style="692"/>
  </cols>
  <sheetData>
    <row r="1" spans="1:8" s="688" customFormat="1" ht="33.75" customHeight="1">
      <c r="A1" s="2587" t="s">
        <v>554</v>
      </c>
      <c r="B1" s="2587"/>
      <c r="C1" s="2587"/>
      <c r="D1" s="2587"/>
    </row>
    <row r="2" spans="1:8" s="689" customFormat="1" ht="9" customHeight="1">
      <c r="A2" s="2588"/>
      <c r="B2" s="2588"/>
      <c r="C2" s="2588"/>
      <c r="D2" s="2588"/>
    </row>
    <row r="3" spans="1:8" s="690" customFormat="1" ht="15.75">
      <c r="A3" s="336" t="s">
        <v>329</v>
      </c>
      <c r="B3" s="336" t="s">
        <v>330</v>
      </c>
      <c r="C3" s="335" t="s">
        <v>331</v>
      </c>
      <c r="D3" s="335" t="s">
        <v>332</v>
      </c>
      <c r="F3" s="691"/>
    </row>
    <row r="4" spans="1:8" ht="64.5" customHeight="1">
      <c r="A4" s="1081" t="s">
        <v>541</v>
      </c>
      <c r="B4" s="916" t="s">
        <v>333</v>
      </c>
      <c r="C4" s="1080" t="s">
        <v>622</v>
      </c>
      <c r="D4" s="1080" t="s">
        <v>545</v>
      </c>
      <c r="F4" s="693"/>
      <c r="G4" s="693"/>
      <c r="H4" s="693"/>
    </row>
    <row r="5" spans="1:8" ht="81.75" customHeight="1">
      <c r="A5" s="1081" t="s">
        <v>542</v>
      </c>
      <c r="B5" s="916" t="s">
        <v>333</v>
      </c>
      <c r="C5" s="928" t="s">
        <v>623</v>
      </c>
      <c r="D5" s="928" t="s">
        <v>624</v>
      </c>
      <c r="F5" s="693"/>
      <c r="G5" s="693"/>
      <c r="H5" s="693"/>
    </row>
    <row r="6" spans="1:8" ht="58.5" customHeight="1">
      <c r="A6" s="1081" t="s">
        <v>543</v>
      </c>
      <c r="B6" s="916" t="s">
        <v>334</v>
      </c>
      <c r="C6" s="1080" t="s">
        <v>545</v>
      </c>
      <c r="D6" s="1080" t="s">
        <v>599</v>
      </c>
      <c r="F6" s="693"/>
      <c r="G6" s="693"/>
      <c r="H6" s="693"/>
    </row>
    <row r="7" spans="1:8" ht="108.75" customHeight="1">
      <c r="A7" s="1081" t="s">
        <v>544</v>
      </c>
      <c r="B7" s="916" t="s">
        <v>335</v>
      </c>
      <c r="C7" s="928" t="s">
        <v>636</v>
      </c>
      <c r="D7" s="1080" t="s">
        <v>545</v>
      </c>
      <c r="F7" s="693"/>
      <c r="G7" s="693"/>
      <c r="H7" s="693"/>
    </row>
    <row r="8" spans="1:8" ht="44.25" customHeight="1">
      <c r="A8" s="1081" t="s">
        <v>546</v>
      </c>
      <c r="B8" s="916" t="s">
        <v>335</v>
      </c>
      <c r="C8" s="1080" t="s">
        <v>637</v>
      </c>
      <c r="D8" s="1081" t="s">
        <v>545</v>
      </c>
      <c r="F8" s="693"/>
      <c r="G8" s="693"/>
      <c r="H8" s="693"/>
    </row>
    <row r="9" spans="1:8" ht="42" customHeight="1">
      <c r="A9" s="1081" t="s">
        <v>547</v>
      </c>
      <c r="B9" s="916" t="s">
        <v>335</v>
      </c>
      <c r="C9" s="1080" t="s">
        <v>641</v>
      </c>
      <c r="D9" s="1110" t="s">
        <v>625</v>
      </c>
      <c r="F9" s="693"/>
      <c r="G9" s="693"/>
      <c r="H9" s="693"/>
    </row>
    <row r="10" spans="1:8" ht="48.75" customHeight="1">
      <c r="A10" s="928" t="s">
        <v>629</v>
      </c>
      <c r="B10" s="916" t="s">
        <v>333</v>
      </c>
      <c r="C10" s="1080" t="s">
        <v>642</v>
      </c>
      <c r="D10" s="1081" t="s">
        <v>600</v>
      </c>
      <c r="F10" s="693"/>
      <c r="G10" s="693"/>
      <c r="H10" s="693"/>
    </row>
    <row r="11" spans="1:8" ht="48" customHeight="1">
      <c r="A11" s="928" t="s">
        <v>630</v>
      </c>
      <c r="B11" s="916" t="s">
        <v>333</v>
      </c>
      <c r="C11" s="1080" t="s">
        <v>548</v>
      </c>
      <c r="D11" s="1080" t="s">
        <v>549</v>
      </c>
      <c r="F11" s="693"/>
      <c r="G11" s="693"/>
      <c r="H11" s="693"/>
    </row>
    <row r="12" spans="1:8" ht="53.25" customHeight="1">
      <c r="A12" s="928" t="s">
        <v>631</v>
      </c>
      <c r="B12" s="916" t="s">
        <v>333</v>
      </c>
      <c r="C12" s="1080" t="s">
        <v>638</v>
      </c>
      <c r="D12" s="1080" t="s">
        <v>626</v>
      </c>
      <c r="F12" s="693"/>
      <c r="G12" s="693"/>
      <c r="H12" s="693"/>
    </row>
    <row r="13" spans="1:8" ht="62.25" customHeight="1">
      <c r="A13" s="928" t="s">
        <v>632</v>
      </c>
      <c r="B13" s="916" t="s">
        <v>333</v>
      </c>
      <c r="C13" s="1080" t="s">
        <v>550</v>
      </c>
      <c r="D13" s="1080" t="s">
        <v>639</v>
      </c>
      <c r="F13" s="693"/>
      <c r="G13" s="693"/>
      <c r="H13" s="693"/>
    </row>
    <row r="14" spans="1:8" ht="84" customHeight="1">
      <c r="A14" s="928" t="s">
        <v>633</v>
      </c>
      <c r="B14" s="916" t="s">
        <v>334</v>
      </c>
      <c r="C14" s="928" t="s">
        <v>627</v>
      </c>
      <c r="D14" s="928" t="s">
        <v>628</v>
      </c>
      <c r="F14" s="693"/>
      <c r="G14" s="693"/>
      <c r="H14" s="693"/>
    </row>
    <row r="15" spans="1:8" ht="66" customHeight="1">
      <c r="A15" s="928" t="s">
        <v>634</v>
      </c>
      <c r="B15" s="916" t="s">
        <v>334</v>
      </c>
      <c r="C15" s="1080" t="s">
        <v>592</v>
      </c>
      <c r="D15" s="1080" t="s">
        <v>545</v>
      </c>
      <c r="F15" s="693"/>
      <c r="G15" s="693"/>
      <c r="H15" s="693"/>
    </row>
    <row r="16" spans="1:8" ht="99.75" customHeight="1">
      <c r="A16" s="928" t="s">
        <v>635</v>
      </c>
      <c r="B16" s="916" t="s">
        <v>334</v>
      </c>
      <c r="C16" s="1254" t="s">
        <v>722</v>
      </c>
      <c r="D16" s="1080" t="s">
        <v>551</v>
      </c>
      <c r="F16" s="693"/>
      <c r="G16" s="693"/>
      <c r="H16" s="693"/>
    </row>
    <row r="17" spans="1:8" ht="42.75" customHeight="1">
      <c r="A17" s="1079" t="s">
        <v>361</v>
      </c>
      <c r="B17" s="916" t="s">
        <v>334</v>
      </c>
      <c r="C17" s="1082" t="s">
        <v>552</v>
      </c>
      <c r="D17" s="1082" t="s">
        <v>553</v>
      </c>
      <c r="F17" s="693"/>
      <c r="G17" s="693"/>
      <c r="H17" s="693"/>
    </row>
    <row r="18" spans="1:8" ht="17.25" customHeight="1">
      <c r="A18" s="694"/>
      <c r="B18" s="694"/>
      <c r="C18" s="695"/>
      <c r="D18" s="695"/>
    </row>
    <row r="19" spans="1:8">
      <c r="A19" s="692"/>
      <c r="B19" s="692"/>
      <c r="C19" s="696"/>
      <c r="D19" s="696"/>
    </row>
    <row r="20" spans="1:8">
      <c r="A20" s="692"/>
      <c r="B20" s="692"/>
      <c r="C20" s="696"/>
      <c r="D20" s="696"/>
    </row>
    <row r="21" spans="1:8">
      <c r="A21" s="692"/>
      <c r="B21" s="692"/>
      <c r="C21" s="696"/>
      <c r="D21" s="696"/>
    </row>
    <row r="22" spans="1:8">
      <c r="A22" s="692"/>
      <c r="B22" s="692"/>
      <c r="C22" s="696"/>
      <c r="D22" s="696"/>
    </row>
    <row r="23" spans="1:8">
      <c r="A23" s="692"/>
      <c r="B23" s="692"/>
      <c r="C23" s="696"/>
      <c r="D23" s="696"/>
    </row>
    <row r="24" spans="1:8">
      <c r="A24" s="692"/>
      <c r="B24" s="692"/>
      <c r="C24" s="696"/>
      <c r="D24" s="696"/>
    </row>
    <row r="25" spans="1:8">
      <c r="A25" s="692"/>
      <c r="B25" s="692"/>
      <c r="C25" s="696"/>
      <c r="D25" s="696"/>
    </row>
    <row r="26" spans="1:8">
      <c r="A26" s="692"/>
      <c r="B26" s="692"/>
      <c r="C26" s="696"/>
      <c r="D26" s="696"/>
    </row>
    <row r="27" spans="1:8">
      <c r="A27" s="692"/>
      <c r="B27" s="692"/>
      <c r="C27" s="696"/>
      <c r="D27" s="696"/>
    </row>
    <row r="28" spans="1:8">
      <c r="A28" s="692"/>
      <c r="B28" s="692"/>
      <c r="C28" s="696"/>
      <c r="D28" s="696"/>
    </row>
    <row r="29" spans="1:8">
      <c r="A29" s="692"/>
      <c r="B29" s="692"/>
      <c r="C29" s="696"/>
      <c r="D29" s="696"/>
    </row>
    <row r="30" spans="1:8">
      <c r="A30" s="692"/>
      <c r="B30" s="692"/>
      <c r="C30" s="696"/>
      <c r="D30" s="696"/>
    </row>
    <row r="31" spans="1:8">
      <c r="A31" s="692"/>
      <c r="B31" s="692"/>
      <c r="C31" s="696"/>
      <c r="D31" s="696"/>
    </row>
    <row r="32" spans="1:8">
      <c r="A32" s="692"/>
      <c r="B32" s="692"/>
      <c r="C32" s="696"/>
      <c r="D32" s="696"/>
    </row>
    <row r="33" spans="1:4">
      <c r="A33" s="692"/>
      <c r="B33" s="692"/>
      <c r="C33" s="696"/>
      <c r="D33" s="696"/>
    </row>
    <row r="34" spans="1:4">
      <c r="A34" s="692"/>
      <c r="B34" s="692"/>
      <c r="C34" s="696"/>
      <c r="D34" s="696"/>
    </row>
    <row r="35" spans="1:4">
      <c r="A35" s="692"/>
      <c r="B35" s="692"/>
      <c r="C35" s="696"/>
      <c r="D35" s="696"/>
    </row>
    <row r="36" spans="1:4">
      <c r="A36" s="692"/>
      <c r="B36" s="692"/>
      <c r="C36" s="696"/>
      <c r="D36" s="696"/>
    </row>
    <row r="37" spans="1:4">
      <c r="A37" s="692"/>
      <c r="B37" s="692"/>
      <c r="C37" s="696"/>
      <c r="D37" s="696"/>
    </row>
    <row r="38" spans="1:4">
      <c r="A38" s="692"/>
      <c r="B38" s="692"/>
      <c r="C38" s="696"/>
      <c r="D38" s="696"/>
    </row>
    <row r="39" spans="1:4">
      <c r="A39" s="692"/>
      <c r="B39" s="692"/>
      <c r="C39" s="696"/>
      <c r="D39" s="696"/>
    </row>
    <row r="40" spans="1:4">
      <c r="A40" s="692"/>
      <c r="B40" s="692"/>
      <c r="C40" s="696"/>
      <c r="D40" s="696"/>
    </row>
    <row r="41" spans="1:4">
      <c r="A41" s="692"/>
      <c r="B41" s="692"/>
      <c r="C41" s="696"/>
      <c r="D41" s="696"/>
    </row>
    <row r="42" spans="1:4">
      <c r="A42" s="692"/>
      <c r="B42" s="692"/>
      <c r="C42" s="696"/>
      <c r="D42" s="696"/>
    </row>
    <row r="43" spans="1:4">
      <c r="A43" s="692"/>
      <c r="B43" s="692"/>
      <c r="C43" s="696"/>
      <c r="D43" s="696"/>
    </row>
    <row r="44" spans="1:4">
      <c r="A44" s="692"/>
      <c r="B44" s="692"/>
      <c r="C44" s="696"/>
      <c r="D44" s="696"/>
    </row>
    <row r="45" spans="1:4">
      <c r="A45" s="692"/>
      <c r="B45" s="692"/>
      <c r="C45" s="696"/>
      <c r="D45" s="696"/>
    </row>
    <row r="46" spans="1:4">
      <c r="A46" s="692"/>
      <c r="B46" s="692"/>
      <c r="C46" s="696"/>
      <c r="D46" s="696"/>
    </row>
    <row r="47" spans="1:4">
      <c r="A47" s="692"/>
      <c r="B47" s="692"/>
      <c r="C47" s="696"/>
      <c r="D47" s="696"/>
    </row>
    <row r="48" spans="1:4">
      <c r="A48" s="692"/>
      <c r="B48" s="692"/>
      <c r="C48" s="696"/>
      <c r="D48" s="696"/>
    </row>
    <row r="49" spans="1:4">
      <c r="A49" s="692"/>
      <c r="B49" s="692"/>
      <c r="C49" s="696"/>
      <c r="D49" s="696"/>
    </row>
    <row r="50" spans="1:4">
      <c r="A50" s="692"/>
      <c r="B50" s="692"/>
      <c r="C50" s="696"/>
      <c r="D50" s="696"/>
    </row>
    <row r="51" spans="1:4">
      <c r="A51" s="692"/>
      <c r="B51" s="692"/>
      <c r="C51" s="696"/>
      <c r="D51" s="696"/>
    </row>
    <row r="52" spans="1:4">
      <c r="A52" s="692"/>
      <c r="B52" s="692"/>
      <c r="C52" s="696"/>
      <c r="D52" s="696"/>
    </row>
    <row r="53" spans="1:4">
      <c r="A53" s="692"/>
      <c r="B53" s="692"/>
      <c r="C53" s="696"/>
      <c r="D53" s="696"/>
    </row>
    <row r="54" spans="1:4">
      <c r="A54" s="692"/>
      <c r="B54" s="692"/>
      <c r="C54" s="696"/>
      <c r="D54" s="696"/>
    </row>
    <row r="55" spans="1:4">
      <c r="A55" s="692"/>
      <c r="B55" s="692"/>
      <c r="C55" s="696"/>
      <c r="D55" s="696"/>
    </row>
    <row r="56" spans="1:4">
      <c r="A56" s="692"/>
      <c r="B56" s="692"/>
      <c r="C56" s="696"/>
      <c r="D56" s="696"/>
    </row>
    <row r="57" spans="1:4">
      <c r="A57" s="692"/>
      <c r="B57" s="692"/>
      <c r="C57" s="696"/>
      <c r="D57" s="696"/>
    </row>
    <row r="58" spans="1:4">
      <c r="A58" s="692"/>
      <c r="B58" s="692"/>
      <c r="C58" s="696"/>
      <c r="D58" s="696"/>
    </row>
    <row r="59" spans="1:4">
      <c r="A59" s="692"/>
      <c r="B59" s="692"/>
      <c r="C59" s="696"/>
      <c r="D59" s="696"/>
    </row>
    <row r="60" spans="1:4">
      <c r="A60" s="692"/>
      <c r="B60" s="692"/>
      <c r="C60" s="696"/>
      <c r="D60" s="696"/>
    </row>
    <row r="61" spans="1:4">
      <c r="A61" s="692"/>
      <c r="B61" s="692"/>
      <c r="C61" s="696"/>
      <c r="D61" s="696"/>
    </row>
    <row r="62" spans="1:4">
      <c r="A62" s="692"/>
      <c r="B62" s="692"/>
      <c r="C62" s="696"/>
      <c r="D62" s="696"/>
    </row>
    <row r="63" spans="1:4">
      <c r="A63" s="692"/>
      <c r="B63" s="692"/>
      <c r="C63" s="696"/>
      <c r="D63" s="696"/>
    </row>
    <row r="64" spans="1:4">
      <c r="A64" s="692"/>
      <c r="B64" s="692"/>
      <c r="C64" s="696"/>
      <c r="D64" s="696"/>
    </row>
    <row r="65" spans="1:4">
      <c r="A65" s="692"/>
      <c r="B65" s="692"/>
      <c r="C65" s="696"/>
      <c r="D65" s="696"/>
    </row>
    <row r="66" spans="1:4">
      <c r="A66" s="692"/>
      <c r="B66" s="692"/>
      <c r="C66" s="696"/>
      <c r="D66" s="696"/>
    </row>
    <row r="67" spans="1:4">
      <c r="A67" s="692"/>
      <c r="B67" s="692"/>
      <c r="C67" s="696"/>
      <c r="D67" s="696"/>
    </row>
    <row r="68" spans="1:4">
      <c r="A68" s="692"/>
      <c r="B68" s="692"/>
      <c r="C68" s="696"/>
      <c r="D68" s="696"/>
    </row>
    <row r="69" spans="1:4">
      <c r="A69" s="692"/>
      <c r="B69" s="692"/>
      <c r="C69" s="696"/>
      <c r="D69" s="696"/>
    </row>
    <row r="70" spans="1:4">
      <c r="A70" s="692"/>
      <c r="B70" s="692"/>
      <c r="C70" s="696"/>
      <c r="D70" s="696"/>
    </row>
    <row r="71" spans="1:4">
      <c r="A71" s="692"/>
      <c r="B71" s="692"/>
      <c r="C71" s="696"/>
      <c r="D71" s="696"/>
    </row>
    <row r="72" spans="1:4">
      <c r="A72" s="692"/>
      <c r="B72" s="692"/>
      <c r="C72" s="696"/>
      <c r="D72" s="696"/>
    </row>
    <row r="73" spans="1:4">
      <c r="A73" s="692"/>
      <c r="B73" s="692"/>
      <c r="C73" s="696"/>
      <c r="D73" s="696"/>
    </row>
    <row r="74" spans="1:4">
      <c r="A74" s="692"/>
      <c r="B74" s="692"/>
      <c r="C74" s="696"/>
      <c r="D74" s="696"/>
    </row>
    <row r="75" spans="1:4">
      <c r="A75" s="692"/>
      <c r="B75" s="692"/>
      <c r="C75" s="696"/>
      <c r="D75" s="696"/>
    </row>
    <row r="76" spans="1:4">
      <c r="A76" s="692"/>
      <c r="B76" s="692"/>
      <c r="C76" s="696"/>
      <c r="D76" s="696"/>
    </row>
    <row r="77" spans="1:4">
      <c r="A77" s="692"/>
      <c r="B77" s="692"/>
      <c r="C77" s="696"/>
      <c r="D77" s="696"/>
    </row>
    <row r="78" spans="1:4">
      <c r="A78" s="692"/>
      <c r="B78" s="692"/>
      <c r="C78" s="696"/>
      <c r="D78" s="696"/>
    </row>
    <row r="79" spans="1:4">
      <c r="A79" s="692"/>
      <c r="B79" s="692"/>
      <c r="C79" s="696"/>
      <c r="D79" s="696"/>
    </row>
    <row r="80" spans="1:4">
      <c r="A80" s="692"/>
      <c r="B80" s="692"/>
      <c r="C80" s="696"/>
      <c r="D80" s="696"/>
    </row>
    <row r="81" spans="1:4">
      <c r="A81" s="692"/>
      <c r="B81" s="692"/>
      <c r="C81" s="696"/>
      <c r="D81" s="696"/>
    </row>
    <row r="82" spans="1:4">
      <c r="A82" s="692"/>
      <c r="B82" s="692"/>
      <c r="C82" s="696"/>
      <c r="D82" s="696"/>
    </row>
    <row r="83" spans="1:4">
      <c r="A83" s="692"/>
      <c r="B83" s="692"/>
      <c r="C83" s="696"/>
      <c r="D83" s="696"/>
    </row>
    <row r="84" spans="1:4">
      <c r="A84" s="692"/>
      <c r="B84" s="692"/>
      <c r="C84" s="696"/>
      <c r="D84" s="696"/>
    </row>
    <row r="85" spans="1:4">
      <c r="A85" s="692"/>
      <c r="B85" s="692"/>
      <c r="C85" s="696"/>
      <c r="D85" s="696"/>
    </row>
    <row r="86" spans="1:4">
      <c r="A86" s="692"/>
      <c r="B86" s="692"/>
      <c r="C86" s="696"/>
      <c r="D86" s="696"/>
    </row>
    <row r="87" spans="1:4">
      <c r="A87" s="692"/>
      <c r="B87" s="692"/>
      <c r="C87" s="696"/>
      <c r="D87" s="696"/>
    </row>
    <row r="88" spans="1:4">
      <c r="A88" s="692"/>
      <c r="B88" s="692"/>
      <c r="C88" s="696"/>
      <c r="D88" s="696"/>
    </row>
    <row r="89" spans="1:4">
      <c r="A89" s="692"/>
      <c r="B89" s="692"/>
      <c r="C89" s="696"/>
      <c r="D89" s="696"/>
    </row>
    <row r="90" spans="1:4">
      <c r="A90" s="692"/>
      <c r="B90" s="692"/>
      <c r="C90" s="696"/>
      <c r="D90" s="696"/>
    </row>
    <row r="91" spans="1:4">
      <c r="A91" s="692"/>
      <c r="B91" s="692"/>
      <c r="C91" s="696"/>
      <c r="D91" s="696"/>
    </row>
    <row r="92" spans="1:4">
      <c r="A92" s="692"/>
      <c r="B92" s="692"/>
      <c r="C92" s="696"/>
      <c r="D92" s="696"/>
    </row>
    <row r="93" spans="1:4">
      <c r="A93" s="692"/>
      <c r="B93" s="692"/>
      <c r="C93" s="696"/>
      <c r="D93" s="696"/>
    </row>
    <row r="94" spans="1:4">
      <c r="A94" s="692"/>
      <c r="B94" s="692"/>
      <c r="C94" s="696"/>
      <c r="D94" s="696"/>
    </row>
    <row r="95" spans="1:4">
      <c r="A95" s="692"/>
      <c r="B95" s="692"/>
      <c r="C95" s="696"/>
      <c r="D95" s="696"/>
    </row>
    <row r="96" spans="1:4">
      <c r="A96" s="692"/>
      <c r="B96" s="692"/>
      <c r="C96" s="696"/>
      <c r="D96" s="696"/>
    </row>
    <row r="97" spans="1:4">
      <c r="A97" s="692"/>
      <c r="B97" s="692"/>
      <c r="C97" s="696"/>
      <c r="D97" s="696"/>
    </row>
    <row r="98" spans="1:4">
      <c r="A98" s="692"/>
      <c r="B98" s="692"/>
      <c r="C98" s="696"/>
      <c r="D98" s="696"/>
    </row>
    <row r="99" spans="1:4">
      <c r="A99" s="692"/>
      <c r="B99" s="692"/>
      <c r="C99" s="696"/>
      <c r="D99" s="696"/>
    </row>
    <row r="100" spans="1:4">
      <c r="A100" s="692"/>
      <c r="B100" s="692"/>
      <c r="C100" s="696"/>
      <c r="D100" s="696"/>
    </row>
    <row r="101" spans="1:4">
      <c r="A101" s="692"/>
      <c r="B101" s="692"/>
      <c r="C101" s="696"/>
      <c r="D101" s="696"/>
    </row>
    <row r="102" spans="1:4">
      <c r="A102" s="692"/>
      <c r="B102" s="692"/>
      <c r="C102" s="696"/>
      <c r="D102" s="696"/>
    </row>
    <row r="103" spans="1:4">
      <c r="A103" s="692"/>
      <c r="B103" s="692"/>
      <c r="C103" s="696"/>
      <c r="D103" s="696"/>
    </row>
    <row r="104" spans="1:4">
      <c r="A104" s="692"/>
      <c r="B104" s="692"/>
      <c r="C104" s="696"/>
      <c r="D104" s="696"/>
    </row>
    <row r="105" spans="1:4">
      <c r="A105" s="692"/>
      <c r="B105" s="692"/>
      <c r="C105" s="696"/>
      <c r="D105" s="696"/>
    </row>
    <row r="106" spans="1:4">
      <c r="A106" s="692"/>
      <c r="B106" s="692"/>
      <c r="C106" s="696"/>
      <c r="D106" s="696"/>
    </row>
    <row r="107" spans="1:4">
      <c r="A107" s="692"/>
      <c r="B107" s="692"/>
      <c r="C107" s="696"/>
      <c r="D107" s="696"/>
    </row>
    <row r="108" spans="1:4">
      <c r="A108" s="692"/>
      <c r="B108" s="692"/>
      <c r="C108" s="696"/>
      <c r="D108" s="696"/>
    </row>
    <row r="109" spans="1:4">
      <c r="A109" s="692"/>
      <c r="B109" s="692"/>
      <c r="C109" s="696"/>
      <c r="D109" s="696"/>
    </row>
    <row r="110" spans="1:4">
      <c r="A110" s="692"/>
      <c r="B110" s="692"/>
      <c r="C110" s="696"/>
      <c r="D110" s="696"/>
    </row>
    <row r="111" spans="1:4">
      <c r="A111" s="692"/>
      <c r="B111" s="692"/>
      <c r="C111" s="696"/>
      <c r="D111" s="696"/>
    </row>
    <row r="112" spans="1:4">
      <c r="A112" s="692"/>
      <c r="B112" s="692"/>
      <c r="C112" s="696"/>
      <c r="D112" s="696"/>
    </row>
    <row r="113" spans="1:4">
      <c r="A113" s="692"/>
      <c r="B113" s="692"/>
      <c r="C113" s="696"/>
      <c r="D113" s="696"/>
    </row>
    <row r="114" spans="1:4">
      <c r="A114" s="692"/>
      <c r="B114" s="692"/>
      <c r="C114" s="696"/>
      <c r="D114" s="696"/>
    </row>
    <row r="115" spans="1:4">
      <c r="A115" s="692"/>
      <c r="B115" s="692"/>
      <c r="C115" s="696"/>
      <c r="D115" s="696"/>
    </row>
    <row r="116" spans="1:4">
      <c r="A116" s="692"/>
      <c r="B116" s="692"/>
      <c r="C116" s="696"/>
      <c r="D116" s="696"/>
    </row>
    <row r="117" spans="1:4">
      <c r="A117" s="692"/>
      <c r="B117" s="692"/>
      <c r="C117" s="696"/>
      <c r="D117" s="696"/>
    </row>
    <row r="118" spans="1:4">
      <c r="A118" s="692"/>
      <c r="B118" s="692"/>
      <c r="C118" s="696"/>
      <c r="D118" s="696"/>
    </row>
    <row r="119" spans="1:4">
      <c r="A119" s="692"/>
      <c r="B119" s="692"/>
      <c r="C119" s="696"/>
      <c r="D119" s="696"/>
    </row>
    <row r="120" spans="1:4">
      <c r="A120" s="692"/>
      <c r="B120" s="692"/>
      <c r="C120" s="696"/>
      <c r="D120" s="696"/>
    </row>
    <row r="121" spans="1:4">
      <c r="A121" s="692"/>
      <c r="B121" s="692"/>
      <c r="C121" s="696"/>
      <c r="D121" s="696"/>
    </row>
    <row r="122" spans="1:4">
      <c r="A122" s="692"/>
      <c r="B122" s="692"/>
      <c r="C122" s="696"/>
      <c r="D122" s="696"/>
    </row>
    <row r="123" spans="1:4">
      <c r="A123" s="692"/>
      <c r="B123" s="692"/>
      <c r="C123" s="696"/>
      <c r="D123" s="696"/>
    </row>
    <row r="124" spans="1:4">
      <c r="A124" s="692"/>
      <c r="B124" s="692"/>
      <c r="C124" s="696"/>
      <c r="D124" s="696"/>
    </row>
    <row r="125" spans="1:4">
      <c r="A125" s="692"/>
      <c r="B125" s="692"/>
      <c r="C125" s="696"/>
      <c r="D125" s="696"/>
    </row>
    <row r="126" spans="1:4">
      <c r="A126" s="692"/>
      <c r="B126" s="692"/>
      <c r="C126" s="696"/>
      <c r="D126" s="696"/>
    </row>
    <row r="127" spans="1:4">
      <c r="A127" s="692"/>
      <c r="B127" s="692"/>
      <c r="C127" s="696"/>
      <c r="D127" s="696"/>
    </row>
    <row r="128" spans="1:4">
      <c r="A128" s="692"/>
      <c r="B128" s="692"/>
      <c r="C128" s="696"/>
      <c r="D128" s="696"/>
    </row>
    <row r="129" spans="1:4">
      <c r="A129" s="692"/>
      <c r="B129" s="692"/>
      <c r="C129" s="696"/>
      <c r="D129" s="696"/>
    </row>
    <row r="130" spans="1:4">
      <c r="A130" s="692"/>
      <c r="B130" s="692"/>
      <c r="C130" s="696"/>
      <c r="D130" s="696"/>
    </row>
    <row r="131" spans="1:4">
      <c r="A131" s="692"/>
      <c r="B131" s="692"/>
      <c r="C131" s="696"/>
      <c r="D131" s="696"/>
    </row>
    <row r="132" spans="1:4">
      <c r="A132" s="692"/>
      <c r="B132" s="692"/>
      <c r="C132" s="696"/>
      <c r="D132" s="696"/>
    </row>
    <row r="133" spans="1:4">
      <c r="A133" s="692"/>
      <c r="B133" s="692"/>
      <c r="C133" s="696"/>
      <c r="D133" s="696"/>
    </row>
    <row r="134" spans="1:4">
      <c r="A134" s="692"/>
      <c r="B134" s="692"/>
      <c r="C134" s="696"/>
      <c r="D134" s="696"/>
    </row>
    <row r="135" spans="1:4">
      <c r="A135" s="692"/>
      <c r="B135" s="692"/>
      <c r="C135" s="696"/>
      <c r="D135" s="696"/>
    </row>
    <row r="136" spans="1:4">
      <c r="A136" s="692"/>
      <c r="B136" s="692"/>
      <c r="C136" s="696"/>
      <c r="D136" s="696"/>
    </row>
    <row r="137" spans="1:4">
      <c r="A137" s="692"/>
      <c r="B137" s="692"/>
      <c r="C137" s="696"/>
      <c r="D137" s="696"/>
    </row>
    <row r="138" spans="1:4">
      <c r="A138" s="692"/>
      <c r="B138" s="692"/>
      <c r="C138" s="696"/>
      <c r="D138" s="696"/>
    </row>
    <row r="139" spans="1:4">
      <c r="A139" s="692"/>
      <c r="B139" s="692"/>
      <c r="C139" s="696"/>
      <c r="D139" s="696"/>
    </row>
    <row r="140" spans="1:4">
      <c r="A140" s="692"/>
      <c r="B140" s="692"/>
      <c r="C140" s="696"/>
      <c r="D140" s="696"/>
    </row>
    <row r="141" spans="1:4">
      <c r="A141" s="692"/>
      <c r="B141" s="692"/>
      <c r="C141" s="696"/>
      <c r="D141" s="696"/>
    </row>
    <row r="142" spans="1:4">
      <c r="A142" s="692"/>
      <c r="B142" s="692"/>
      <c r="C142" s="696"/>
      <c r="D142" s="696"/>
    </row>
    <row r="143" spans="1:4">
      <c r="A143" s="692"/>
      <c r="B143" s="692"/>
      <c r="C143" s="696"/>
      <c r="D143" s="696"/>
    </row>
    <row r="144" spans="1:4">
      <c r="A144" s="692"/>
      <c r="B144" s="692"/>
      <c r="C144" s="696"/>
      <c r="D144" s="696"/>
    </row>
    <row r="145" spans="1:4">
      <c r="A145" s="692"/>
      <c r="B145" s="692"/>
      <c r="C145" s="696"/>
      <c r="D145" s="696"/>
    </row>
    <row r="146" spans="1:4">
      <c r="A146" s="692"/>
      <c r="B146" s="692"/>
      <c r="C146" s="696"/>
      <c r="D146" s="696"/>
    </row>
    <row r="147" spans="1:4">
      <c r="A147" s="692"/>
      <c r="B147" s="692"/>
      <c r="C147" s="696"/>
      <c r="D147" s="696"/>
    </row>
    <row r="148" spans="1:4">
      <c r="A148" s="692"/>
      <c r="B148" s="692"/>
      <c r="C148" s="696"/>
      <c r="D148" s="696"/>
    </row>
    <row r="149" spans="1:4">
      <c r="A149" s="692"/>
      <c r="B149" s="692"/>
      <c r="C149" s="696"/>
      <c r="D149" s="696"/>
    </row>
    <row r="150" spans="1:4">
      <c r="A150" s="692"/>
      <c r="B150" s="692"/>
      <c r="C150" s="696"/>
      <c r="D150" s="696"/>
    </row>
    <row r="151" spans="1:4">
      <c r="A151" s="692"/>
      <c r="B151" s="692"/>
      <c r="C151" s="696"/>
      <c r="D151" s="696"/>
    </row>
    <row r="152" spans="1:4">
      <c r="A152" s="692"/>
      <c r="B152" s="692"/>
      <c r="C152" s="696"/>
      <c r="D152" s="696"/>
    </row>
    <row r="153" spans="1:4">
      <c r="A153" s="692"/>
      <c r="B153" s="692"/>
      <c r="C153" s="696"/>
      <c r="D153" s="696"/>
    </row>
    <row r="154" spans="1:4">
      <c r="A154" s="692"/>
      <c r="B154" s="692"/>
      <c r="C154" s="696"/>
      <c r="D154" s="696"/>
    </row>
    <row r="155" spans="1:4">
      <c r="A155" s="692"/>
      <c r="B155" s="692"/>
      <c r="C155" s="696"/>
      <c r="D155" s="696"/>
    </row>
    <row r="156" spans="1:4">
      <c r="A156" s="692"/>
      <c r="B156" s="692"/>
      <c r="C156" s="696"/>
      <c r="D156" s="696"/>
    </row>
    <row r="157" spans="1:4">
      <c r="A157" s="692"/>
      <c r="B157" s="692"/>
      <c r="C157" s="696"/>
      <c r="D157" s="696"/>
    </row>
    <row r="158" spans="1:4">
      <c r="A158" s="692"/>
      <c r="B158" s="692"/>
      <c r="C158" s="696"/>
      <c r="D158" s="696"/>
    </row>
    <row r="159" spans="1:4">
      <c r="A159" s="692"/>
      <c r="B159" s="692"/>
      <c r="C159" s="696"/>
      <c r="D159" s="696"/>
    </row>
    <row r="160" spans="1:4">
      <c r="A160" s="692"/>
      <c r="B160" s="692"/>
      <c r="C160" s="696"/>
      <c r="D160" s="696"/>
    </row>
    <row r="161" spans="1:4">
      <c r="A161" s="692"/>
      <c r="B161" s="692"/>
      <c r="C161" s="696"/>
      <c r="D161" s="696"/>
    </row>
    <row r="162" spans="1:4">
      <c r="A162" s="692"/>
      <c r="B162" s="692"/>
      <c r="C162" s="696"/>
      <c r="D162" s="696"/>
    </row>
    <row r="163" spans="1:4">
      <c r="A163" s="692"/>
      <c r="B163" s="692"/>
      <c r="C163" s="696"/>
      <c r="D163" s="696"/>
    </row>
    <row r="164" spans="1:4">
      <c r="A164" s="692"/>
      <c r="B164" s="692"/>
      <c r="C164" s="696"/>
      <c r="D164" s="696"/>
    </row>
    <row r="165" spans="1:4">
      <c r="A165" s="692"/>
      <c r="B165" s="692"/>
      <c r="C165" s="696"/>
      <c r="D165" s="696"/>
    </row>
    <row r="166" spans="1:4">
      <c r="A166" s="692"/>
      <c r="B166" s="692"/>
      <c r="C166" s="696"/>
      <c r="D166" s="696"/>
    </row>
    <row r="167" spans="1:4">
      <c r="A167" s="692"/>
      <c r="B167" s="692"/>
      <c r="C167" s="696"/>
      <c r="D167" s="696"/>
    </row>
    <row r="168" spans="1:4">
      <c r="A168" s="692"/>
      <c r="B168" s="692"/>
      <c r="C168" s="696"/>
      <c r="D168" s="696"/>
    </row>
    <row r="169" spans="1:4">
      <c r="A169" s="692"/>
      <c r="B169" s="692"/>
      <c r="C169" s="696"/>
      <c r="D169" s="696"/>
    </row>
    <row r="170" spans="1:4">
      <c r="A170" s="692"/>
      <c r="B170" s="692"/>
      <c r="C170" s="696"/>
      <c r="D170" s="696"/>
    </row>
    <row r="171" spans="1:4">
      <c r="A171" s="692"/>
      <c r="B171" s="692"/>
      <c r="C171" s="696"/>
      <c r="D171" s="696"/>
    </row>
    <row r="172" spans="1:4">
      <c r="A172" s="692"/>
      <c r="B172" s="692"/>
      <c r="C172" s="696"/>
      <c r="D172" s="696"/>
    </row>
    <row r="173" spans="1:4">
      <c r="A173" s="692"/>
      <c r="B173" s="692"/>
      <c r="C173" s="696"/>
      <c r="D173" s="696"/>
    </row>
    <row r="174" spans="1:4">
      <c r="A174" s="692"/>
      <c r="B174" s="692"/>
      <c r="C174" s="696"/>
      <c r="D174" s="696"/>
    </row>
    <row r="175" spans="1:4">
      <c r="A175" s="692"/>
      <c r="B175" s="692"/>
      <c r="C175" s="696"/>
      <c r="D175" s="696"/>
    </row>
    <row r="176" spans="1:4">
      <c r="A176" s="692"/>
      <c r="B176" s="692"/>
      <c r="C176" s="696"/>
      <c r="D176" s="696"/>
    </row>
    <row r="177" spans="1:4">
      <c r="A177" s="692"/>
      <c r="B177" s="692"/>
      <c r="C177" s="696"/>
      <c r="D177" s="696"/>
    </row>
    <row r="178" spans="1:4">
      <c r="A178" s="692"/>
      <c r="B178" s="692"/>
      <c r="C178" s="696"/>
      <c r="D178" s="696"/>
    </row>
    <row r="179" spans="1:4">
      <c r="A179" s="692"/>
      <c r="B179" s="692"/>
      <c r="C179" s="696"/>
      <c r="D179" s="696"/>
    </row>
    <row r="180" spans="1:4">
      <c r="A180" s="692"/>
      <c r="B180" s="692"/>
      <c r="C180" s="696"/>
      <c r="D180" s="696"/>
    </row>
    <row r="181" spans="1:4">
      <c r="A181" s="692"/>
      <c r="B181" s="692"/>
      <c r="C181" s="696"/>
      <c r="D181" s="696"/>
    </row>
    <row r="182" spans="1:4">
      <c r="A182" s="692"/>
      <c r="B182" s="692"/>
      <c r="C182" s="696"/>
      <c r="D182" s="696"/>
    </row>
    <row r="183" spans="1:4">
      <c r="A183" s="692"/>
      <c r="B183" s="692"/>
      <c r="C183" s="696"/>
      <c r="D183" s="696"/>
    </row>
    <row r="184" spans="1:4">
      <c r="A184" s="692"/>
      <c r="B184" s="692"/>
      <c r="C184" s="696"/>
      <c r="D184" s="696"/>
    </row>
    <row r="185" spans="1:4">
      <c r="A185" s="692"/>
      <c r="B185" s="692"/>
      <c r="C185" s="696"/>
      <c r="D185" s="696"/>
    </row>
    <row r="186" spans="1:4">
      <c r="A186" s="692"/>
      <c r="B186" s="692"/>
      <c r="C186" s="696"/>
      <c r="D186" s="696"/>
    </row>
    <row r="187" spans="1:4">
      <c r="A187" s="692"/>
      <c r="B187" s="692"/>
      <c r="C187" s="696"/>
      <c r="D187" s="696"/>
    </row>
    <row r="188" spans="1:4">
      <c r="A188" s="692"/>
      <c r="B188" s="692"/>
      <c r="C188" s="696"/>
      <c r="D188" s="696"/>
    </row>
    <row r="189" spans="1:4">
      <c r="A189" s="692"/>
      <c r="B189" s="692"/>
      <c r="C189" s="696"/>
      <c r="D189" s="696"/>
    </row>
    <row r="190" spans="1:4">
      <c r="A190" s="692"/>
      <c r="B190" s="692"/>
      <c r="C190" s="696"/>
      <c r="D190" s="696"/>
    </row>
    <row r="191" spans="1:4">
      <c r="A191" s="692"/>
      <c r="B191" s="692"/>
      <c r="C191" s="696"/>
      <c r="D191" s="696"/>
    </row>
    <row r="192" spans="1:4">
      <c r="A192" s="692"/>
      <c r="B192" s="692"/>
      <c r="C192" s="696"/>
      <c r="D192" s="696"/>
    </row>
    <row r="193" spans="1:4">
      <c r="A193" s="692"/>
      <c r="B193" s="692"/>
      <c r="C193" s="696"/>
      <c r="D193" s="696"/>
    </row>
    <row r="194" spans="1:4">
      <c r="A194" s="692"/>
      <c r="B194" s="692"/>
      <c r="C194" s="696"/>
      <c r="D194" s="696"/>
    </row>
    <row r="195" spans="1:4">
      <c r="A195" s="692"/>
      <c r="B195" s="692"/>
      <c r="C195" s="696"/>
      <c r="D195" s="696"/>
    </row>
    <row r="196" spans="1:4">
      <c r="A196" s="692"/>
      <c r="B196" s="692"/>
      <c r="C196" s="696"/>
      <c r="D196" s="696"/>
    </row>
    <row r="197" spans="1:4">
      <c r="A197" s="692"/>
      <c r="B197" s="692"/>
      <c r="C197" s="696"/>
      <c r="D197" s="696"/>
    </row>
    <row r="198" spans="1:4">
      <c r="A198" s="692"/>
      <c r="B198" s="692"/>
      <c r="C198" s="696"/>
      <c r="D198" s="696"/>
    </row>
    <row r="199" spans="1:4">
      <c r="A199" s="692"/>
      <c r="B199" s="692"/>
      <c r="C199" s="696"/>
      <c r="D199" s="696"/>
    </row>
    <row r="200" spans="1:4">
      <c r="A200" s="692"/>
      <c r="B200" s="692"/>
      <c r="C200" s="696"/>
      <c r="D200" s="696"/>
    </row>
    <row r="201" spans="1:4">
      <c r="A201" s="692"/>
      <c r="B201" s="692"/>
      <c r="C201" s="696"/>
      <c r="D201" s="696"/>
    </row>
    <row r="202" spans="1:4">
      <c r="A202" s="692"/>
      <c r="B202" s="692"/>
      <c r="C202" s="696"/>
      <c r="D202" s="696"/>
    </row>
    <row r="203" spans="1:4">
      <c r="A203" s="692"/>
      <c r="B203" s="692"/>
      <c r="C203" s="696"/>
      <c r="D203" s="696"/>
    </row>
    <row r="204" spans="1:4">
      <c r="A204" s="692"/>
      <c r="B204" s="692"/>
      <c r="C204" s="696"/>
      <c r="D204" s="696"/>
    </row>
    <row r="205" spans="1:4">
      <c r="A205" s="692"/>
      <c r="B205" s="692"/>
      <c r="C205" s="696"/>
      <c r="D205" s="696"/>
    </row>
    <row r="206" spans="1:4">
      <c r="A206" s="692"/>
      <c r="B206" s="692"/>
      <c r="C206" s="696"/>
      <c r="D206" s="696"/>
    </row>
    <row r="207" spans="1:4">
      <c r="A207" s="692"/>
      <c r="B207" s="692"/>
      <c r="C207" s="696"/>
      <c r="D207" s="696"/>
    </row>
    <row r="208" spans="1:4">
      <c r="A208" s="692"/>
      <c r="B208" s="692"/>
      <c r="C208" s="696"/>
      <c r="D208" s="696"/>
    </row>
    <row r="209" spans="1:4">
      <c r="A209" s="692"/>
      <c r="B209" s="692"/>
      <c r="C209" s="696"/>
      <c r="D209" s="696"/>
    </row>
    <row r="210" spans="1:4">
      <c r="A210" s="692"/>
      <c r="B210" s="692"/>
      <c r="C210" s="696"/>
      <c r="D210" s="696"/>
    </row>
    <row r="211" spans="1:4">
      <c r="A211" s="692"/>
      <c r="B211" s="692"/>
      <c r="C211" s="696"/>
      <c r="D211" s="696"/>
    </row>
    <row r="212" spans="1:4">
      <c r="A212" s="692"/>
      <c r="B212" s="692"/>
      <c r="C212" s="696"/>
      <c r="D212" s="696"/>
    </row>
    <row r="213" spans="1:4">
      <c r="A213" s="692"/>
      <c r="B213" s="692"/>
      <c r="C213" s="696"/>
      <c r="D213" s="696"/>
    </row>
    <row r="214" spans="1:4">
      <c r="A214" s="692"/>
      <c r="B214" s="692"/>
      <c r="C214" s="696"/>
      <c r="D214" s="696"/>
    </row>
    <row r="215" spans="1:4">
      <c r="A215" s="692"/>
      <c r="B215" s="692"/>
      <c r="C215" s="696"/>
      <c r="D215" s="696"/>
    </row>
    <row r="216" spans="1:4">
      <c r="A216" s="692"/>
      <c r="B216" s="692"/>
      <c r="C216" s="696"/>
      <c r="D216" s="696"/>
    </row>
    <row r="217" spans="1:4">
      <c r="A217" s="692"/>
      <c r="B217" s="692"/>
      <c r="C217" s="696"/>
      <c r="D217" s="696"/>
    </row>
    <row r="218" spans="1:4">
      <c r="A218" s="692"/>
      <c r="B218" s="692"/>
      <c r="C218" s="696"/>
      <c r="D218" s="696"/>
    </row>
    <row r="219" spans="1:4">
      <c r="A219" s="692"/>
      <c r="B219" s="692"/>
      <c r="C219" s="696"/>
      <c r="D219" s="696"/>
    </row>
    <row r="220" spans="1:4">
      <c r="A220" s="692"/>
      <c r="B220" s="692"/>
      <c r="C220" s="696"/>
      <c r="D220" s="696"/>
    </row>
    <row r="221" spans="1:4">
      <c r="A221" s="692"/>
      <c r="B221" s="692"/>
      <c r="C221" s="696"/>
      <c r="D221" s="696"/>
    </row>
    <row r="222" spans="1:4">
      <c r="A222" s="692"/>
      <c r="B222" s="692"/>
      <c r="C222" s="696"/>
      <c r="D222" s="696"/>
    </row>
    <row r="223" spans="1:4">
      <c r="A223" s="692"/>
      <c r="B223" s="692"/>
      <c r="C223" s="696"/>
      <c r="D223" s="696"/>
    </row>
    <row r="224" spans="1:4">
      <c r="A224" s="692"/>
      <c r="B224" s="692"/>
      <c r="C224" s="696"/>
      <c r="D224" s="696"/>
    </row>
    <row r="225" spans="1:4">
      <c r="A225" s="692"/>
      <c r="B225" s="692"/>
      <c r="C225" s="696"/>
      <c r="D225" s="696"/>
    </row>
    <row r="226" spans="1:4">
      <c r="A226" s="692"/>
      <c r="B226" s="692"/>
      <c r="C226" s="696"/>
      <c r="D226" s="696"/>
    </row>
    <row r="227" spans="1:4">
      <c r="A227" s="692"/>
      <c r="B227" s="692"/>
      <c r="C227" s="696"/>
      <c r="D227" s="696"/>
    </row>
    <row r="228" spans="1:4">
      <c r="A228" s="692"/>
      <c r="B228" s="692"/>
      <c r="C228" s="696"/>
      <c r="D228" s="696"/>
    </row>
    <row r="229" spans="1:4">
      <c r="A229" s="692"/>
      <c r="B229" s="692"/>
      <c r="C229" s="696"/>
      <c r="D229" s="696"/>
    </row>
    <row r="230" spans="1:4">
      <c r="A230" s="692"/>
      <c r="B230" s="692"/>
      <c r="C230" s="696"/>
      <c r="D230" s="696"/>
    </row>
    <row r="231" spans="1:4">
      <c r="A231" s="692"/>
      <c r="B231" s="692"/>
      <c r="C231" s="696"/>
      <c r="D231" s="696"/>
    </row>
    <row r="232" spans="1:4">
      <c r="A232" s="692"/>
      <c r="B232" s="692"/>
      <c r="C232" s="696"/>
      <c r="D232" s="696"/>
    </row>
    <row r="233" spans="1:4">
      <c r="A233" s="692"/>
      <c r="B233" s="692"/>
      <c r="C233" s="696"/>
      <c r="D233" s="696"/>
    </row>
    <row r="234" spans="1:4">
      <c r="A234" s="692"/>
      <c r="B234" s="692"/>
      <c r="C234" s="696"/>
      <c r="D234" s="696"/>
    </row>
    <row r="235" spans="1:4">
      <c r="A235" s="692"/>
      <c r="B235" s="692"/>
      <c r="C235" s="696"/>
      <c r="D235" s="696"/>
    </row>
    <row r="236" spans="1:4">
      <c r="A236" s="692"/>
      <c r="B236" s="692"/>
      <c r="C236" s="696"/>
      <c r="D236" s="696"/>
    </row>
    <row r="237" spans="1:4">
      <c r="A237" s="692"/>
      <c r="B237" s="692"/>
      <c r="C237" s="696"/>
      <c r="D237" s="696"/>
    </row>
    <row r="238" spans="1:4">
      <c r="A238" s="692"/>
      <c r="B238" s="692"/>
      <c r="C238" s="696"/>
      <c r="D238" s="696"/>
    </row>
    <row r="239" spans="1:4">
      <c r="A239" s="692"/>
      <c r="B239" s="692"/>
      <c r="C239" s="696"/>
      <c r="D239" s="696"/>
    </row>
    <row r="240" spans="1:4">
      <c r="A240" s="692"/>
      <c r="B240" s="692"/>
      <c r="C240" s="696"/>
      <c r="D240" s="696"/>
    </row>
    <row r="241" spans="1:4">
      <c r="A241" s="692"/>
      <c r="B241" s="692"/>
      <c r="C241" s="696"/>
      <c r="D241" s="696"/>
    </row>
    <row r="242" spans="1:4">
      <c r="A242" s="692"/>
      <c r="B242" s="692"/>
      <c r="C242" s="696"/>
      <c r="D242" s="696"/>
    </row>
    <row r="243" spans="1:4">
      <c r="A243" s="692"/>
      <c r="B243" s="692"/>
      <c r="C243" s="696"/>
      <c r="D243" s="696"/>
    </row>
    <row r="244" spans="1:4">
      <c r="A244" s="692"/>
      <c r="B244" s="692"/>
      <c r="C244" s="696"/>
      <c r="D244" s="696"/>
    </row>
    <row r="245" spans="1:4">
      <c r="A245" s="692"/>
      <c r="B245" s="692"/>
      <c r="C245" s="696"/>
      <c r="D245" s="696"/>
    </row>
    <row r="246" spans="1:4">
      <c r="A246" s="692"/>
      <c r="B246" s="692"/>
      <c r="C246" s="696"/>
      <c r="D246" s="696"/>
    </row>
    <row r="247" spans="1:4">
      <c r="A247" s="692"/>
      <c r="B247" s="692"/>
      <c r="C247" s="696"/>
      <c r="D247" s="696"/>
    </row>
    <row r="248" spans="1:4">
      <c r="A248" s="692"/>
      <c r="B248" s="692"/>
      <c r="C248" s="696"/>
      <c r="D248" s="696"/>
    </row>
    <row r="249" spans="1:4">
      <c r="A249" s="692"/>
      <c r="B249" s="692"/>
      <c r="C249" s="696"/>
      <c r="D249" s="696"/>
    </row>
    <row r="250" spans="1:4">
      <c r="A250" s="692"/>
      <c r="B250" s="692"/>
      <c r="C250" s="696"/>
      <c r="D250" s="696"/>
    </row>
    <row r="251" spans="1:4">
      <c r="A251" s="692"/>
      <c r="B251" s="692"/>
      <c r="C251" s="696"/>
      <c r="D251" s="696"/>
    </row>
    <row r="252" spans="1:4">
      <c r="A252" s="692"/>
      <c r="B252" s="692"/>
      <c r="C252" s="696"/>
      <c r="D252" s="696"/>
    </row>
    <row r="253" spans="1:4">
      <c r="A253" s="692"/>
      <c r="B253" s="692"/>
      <c r="C253" s="696"/>
      <c r="D253" s="696"/>
    </row>
    <row r="254" spans="1:4">
      <c r="A254" s="692"/>
      <c r="B254" s="692"/>
      <c r="C254" s="696"/>
      <c r="D254" s="696"/>
    </row>
    <row r="255" spans="1:4">
      <c r="A255" s="692"/>
      <c r="B255" s="692"/>
      <c r="C255" s="696"/>
      <c r="D255" s="696"/>
    </row>
    <row r="256" spans="1:4">
      <c r="A256" s="692"/>
      <c r="B256" s="692"/>
      <c r="C256" s="696"/>
      <c r="D256" s="696"/>
    </row>
    <row r="257" spans="1:4">
      <c r="A257" s="692"/>
      <c r="B257" s="692"/>
      <c r="C257" s="696"/>
      <c r="D257" s="696"/>
    </row>
    <row r="258" spans="1:4">
      <c r="A258" s="692"/>
      <c r="B258" s="692"/>
      <c r="C258" s="696"/>
      <c r="D258" s="696"/>
    </row>
    <row r="259" spans="1:4">
      <c r="A259" s="692"/>
      <c r="B259" s="692"/>
      <c r="C259" s="696"/>
      <c r="D259" s="696"/>
    </row>
    <row r="260" spans="1:4">
      <c r="A260" s="692"/>
      <c r="B260" s="692"/>
      <c r="C260" s="696"/>
      <c r="D260" s="696"/>
    </row>
    <row r="261" spans="1:4">
      <c r="A261" s="692"/>
      <c r="B261" s="692"/>
      <c r="C261" s="696"/>
      <c r="D261" s="696"/>
    </row>
    <row r="262" spans="1:4">
      <c r="A262" s="692"/>
      <c r="B262" s="692"/>
      <c r="C262" s="696"/>
      <c r="D262" s="696"/>
    </row>
    <row r="263" spans="1:4">
      <c r="A263" s="692"/>
      <c r="B263" s="692"/>
      <c r="C263" s="696"/>
      <c r="D263" s="696"/>
    </row>
    <row r="264" spans="1:4">
      <c r="A264" s="692"/>
      <c r="B264" s="692"/>
      <c r="C264" s="696"/>
      <c r="D264" s="696"/>
    </row>
    <row r="265" spans="1:4">
      <c r="A265" s="692"/>
      <c r="B265" s="692"/>
      <c r="C265" s="696"/>
      <c r="D265" s="696"/>
    </row>
    <row r="266" spans="1:4">
      <c r="A266" s="692"/>
      <c r="B266" s="692"/>
      <c r="C266" s="696"/>
      <c r="D266" s="696"/>
    </row>
    <row r="267" spans="1:4">
      <c r="A267" s="692"/>
      <c r="B267" s="692"/>
      <c r="C267" s="696"/>
      <c r="D267" s="696"/>
    </row>
    <row r="268" spans="1:4">
      <c r="A268" s="692"/>
      <c r="B268" s="692"/>
      <c r="C268" s="696"/>
      <c r="D268" s="696"/>
    </row>
    <row r="269" spans="1:4">
      <c r="A269" s="692"/>
      <c r="B269" s="692"/>
      <c r="C269" s="696"/>
      <c r="D269" s="696"/>
    </row>
    <row r="270" spans="1:4">
      <c r="A270" s="692"/>
      <c r="B270" s="692"/>
      <c r="C270" s="696"/>
      <c r="D270" s="696"/>
    </row>
    <row r="271" spans="1:4">
      <c r="A271" s="692"/>
      <c r="B271" s="692"/>
      <c r="C271" s="696"/>
      <c r="D271" s="696"/>
    </row>
    <row r="272" spans="1:4">
      <c r="A272" s="692"/>
      <c r="B272" s="692"/>
      <c r="C272" s="696"/>
      <c r="D272" s="696"/>
    </row>
    <row r="273" spans="1:4">
      <c r="A273" s="692"/>
      <c r="B273" s="692"/>
      <c r="C273" s="696"/>
      <c r="D273" s="696"/>
    </row>
    <row r="274" spans="1:4">
      <c r="A274" s="692"/>
      <c r="B274" s="692"/>
      <c r="C274" s="696"/>
      <c r="D274" s="696"/>
    </row>
    <row r="275" spans="1:4">
      <c r="A275" s="692"/>
      <c r="B275" s="692"/>
      <c r="C275" s="696"/>
      <c r="D275" s="696"/>
    </row>
    <row r="276" spans="1:4">
      <c r="A276" s="692"/>
      <c r="B276" s="692"/>
      <c r="C276" s="696"/>
      <c r="D276" s="696"/>
    </row>
    <row r="277" spans="1:4">
      <c r="A277" s="692"/>
      <c r="B277" s="692"/>
      <c r="C277" s="696"/>
      <c r="D277" s="696"/>
    </row>
    <row r="278" spans="1:4">
      <c r="A278" s="692"/>
      <c r="B278" s="692"/>
      <c r="C278" s="696"/>
      <c r="D278" s="696"/>
    </row>
    <row r="279" spans="1:4">
      <c r="A279" s="692"/>
      <c r="B279" s="692"/>
      <c r="C279" s="696"/>
      <c r="D279" s="696"/>
    </row>
    <row r="280" spans="1:4">
      <c r="A280" s="692"/>
      <c r="B280" s="692"/>
      <c r="C280" s="696"/>
      <c r="D280" s="696"/>
    </row>
    <row r="281" spans="1:4">
      <c r="A281" s="692"/>
      <c r="B281" s="692"/>
      <c r="C281" s="696"/>
      <c r="D281" s="696"/>
    </row>
    <row r="282" spans="1:4">
      <c r="A282" s="692"/>
      <c r="B282" s="692"/>
      <c r="C282" s="696"/>
      <c r="D282" s="696"/>
    </row>
    <row r="283" spans="1:4">
      <c r="A283" s="692"/>
      <c r="B283" s="692"/>
      <c r="C283" s="696"/>
      <c r="D283" s="696"/>
    </row>
    <row r="284" spans="1:4">
      <c r="A284" s="692"/>
      <c r="B284" s="692"/>
      <c r="C284" s="696"/>
      <c r="D284" s="696"/>
    </row>
    <row r="285" spans="1:4">
      <c r="A285" s="692"/>
      <c r="B285" s="692"/>
      <c r="C285" s="696"/>
      <c r="D285" s="696"/>
    </row>
    <row r="286" spans="1:4">
      <c r="A286" s="692"/>
      <c r="B286" s="692"/>
      <c r="C286" s="696"/>
      <c r="D286" s="696"/>
    </row>
    <row r="287" spans="1:4">
      <c r="A287" s="692"/>
      <c r="B287" s="692"/>
      <c r="C287" s="696"/>
      <c r="D287" s="696"/>
    </row>
    <row r="288" spans="1:4">
      <c r="A288" s="692"/>
      <c r="B288" s="692"/>
      <c r="C288" s="696"/>
      <c r="D288" s="696"/>
    </row>
    <row r="289" spans="1:4">
      <c r="A289" s="692"/>
      <c r="B289" s="692"/>
      <c r="C289" s="696"/>
      <c r="D289" s="696"/>
    </row>
    <row r="290" spans="1:4">
      <c r="A290" s="692"/>
      <c r="B290" s="692"/>
      <c r="C290" s="696"/>
      <c r="D290" s="696"/>
    </row>
    <row r="291" spans="1:4">
      <c r="A291" s="692"/>
      <c r="B291" s="692"/>
      <c r="C291" s="696"/>
      <c r="D291" s="696"/>
    </row>
    <row r="292" spans="1:4">
      <c r="A292" s="692"/>
      <c r="B292" s="692"/>
      <c r="C292" s="696"/>
      <c r="D292" s="696"/>
    </row>
    <row r="293" spans="1:4">
      <c r="A293" s="692"/>
      <c r="B293" s="692"/>
      <c r="C293" s="696"/>
      <c r="D293" s="696"/>
    </row>
    <row r="294" spans="1:4">
      <c r="A294" s="692"/>
      <c r="B294" s="692"/>
      <c r="C294" s="696"/>
      <c r="D294" s="696"/>
    </row>
    <row r="295" spans="1:4">
      <c r="A295" s="692"/>
      <c r="B295" s="692"/>
      <c r="C295" s="696"/>
      <c r="D295" s="696"/>
    </row>
    <row r="296" spans="1:4">
      <c r="A296" s="692"/>
      <c r="B296" s="692"/>
      <c r="C296" s="696"/>
      <c r="D296" s="696"/>
    </row>
    <row r="297" spans="1:4">
      <c r="A297" s="692"/>
      <c r="B297" s="692"/>
      <c r="C297" s="696"/>
      <c r="D297" s="696"/>
    </row>
    <row r="298" spans="1:4">
      <c r="A298" s="692"/>
      <c r="B298" s="692"/>
      <c r="C298" s="696"/>
      <c r="D298" s="696"/>
    </row>
    <row r="299" spans="1:4">
      <c r="A299" s="692"/>
      <c r="B299" s="692"/>
      <c r="C299" s="696"/>
      <c r="D299" s="696"/>
    </row>
    <row r="300" spans="1:4">
      <c r="A300" s="692"/>
      <c r="B300" s="692"/>
      <c r="C300" s="696"/>
      <c r="D300" s="696"/>
    </row>
    <row r="301" spans="1:4">
      <c r="A301" s="692"/>
      <c r="B301" s="692"/>
      <c r="C301" s="696"/>
      <c r="D301" s="696"/>
    </row>
    <row r="302" spans="1:4">
      <c r="A302" s="692"/>
      <c r="B302" s="692"/>
      <c r="C302" s="696"/>
      <c r="D302" s="696"/>
    </row>
    <row r="303" spans="1:4">
      <c r="A303" s="692"/>
      <c r="B303" s="692"/>
      <c r="C303" s="696"/>
      <c r="D303" s="696"/>
    </row>
    <row r="304" spans="1:4">
      <c r="A304" s="692"/>
      <c r="B304" s="692"/>
      <c r="C304" s="696"/>
      <c r="D304" s="696"/>
    </row>
    <row r="305" spans="1:4">
      <c r="A305" s="692"/>
      <c r="B305" s="692"/>
      <c r="C305" s="696"/>
      <c r="D305" s="696"/>
    </row>
    <row r="306" spans="1:4">
      <c r="A306" s="692"/>
      <c r="B306" s="692"/>
      <c r="C306" s="696"/>
      <c r="D306" s="696"/>
    </row>
    <row r="307" spans="1:4">
      <c r="A307" s="692"/>
      <c r="B307" s="692"/>
      <c r="C307" s="696"/>
      <c r="D307" s="696"/>
    </row>
    <row r="308" spans="1:4">
      <c r="A308" s="692"/>
      <c r="B308" s="692"/>
      <c r="C308" s="696"/>
      <c r="D308" s="696"/>
    </row>
    <row r="309" spans="1:4">
      <c r="A309" s="692"/>
      <c r="B309" s="692"/>
      <c r="C309" s="696"/>
      <c r="D309" s="696"/>
    </row>
    <row r="310" spans="1:4">
      <c r="A310" s="692"/>
      <c r="B310" s="692"/>
      <c r="C310" s="696"/>
      <c r="D310" s="696"/>
    </row>
    <row r="311" spans="1:4">
      <c r="A311" s="692"/>
      <c r="B311" s="692"/>
      <c r="C311" s="696"/>
      <c r="D311" s="696"/>
    </row>
    <row r="312" spans="1:4">
      <c r="A312" s="692"/>
      <c r="B312" s="692"/>
      <c r="C312" s="696"/>
      <c r="D312" s="696"/>
    </row>
    <row r="313" spans="1:4">
      <c r="A313" s="692"/>
      <c r="B313" s="692"/>
      <c r="C313" s="696"/>
      <c r="D313" s="696"/>
    </row>
    <row r="314" spans="1:4">
      <c r="A314" s="692"/>
      <c r="B314" s="692"/>
      <c r="C314" s="696"/>
      <c r="D314" s="696"/>
    </row>
    <row r="315" spans="1:4">
      <c r="A315" s="692"/>
      <c r="B315" s="692"/>
      <c r="C315" s="696"/>
      <c r="D315" s="696"/>
    </row>
    <row r="316" spans="1:4">
      <c r="A316" s="692"/>
      <c r="B316" s="692"/>
      <c r="C316" s="696"/>
      <c r="D316" s="696"/>
    </row>
    <row r="317" spans="1:4">
      <c r="A317" s="692"/>
      <c r="B317" s="692"/>
      <c r="C317" s="696"/>
      <c r="D317" s="696"/>
    </row>
    <row r="318" spans="1:4">
      <c r="A318" s="692"/>
      <c r="B318" s="692"/>
      <c r="C318" s="696"/>
      <c r="D318" s="696"/>
    </row>
    <row r="319" spans="1:4">
      <c r="A319" s="692"/>
      <c r="B319" s="692"/>
      <c r="C319" s="696"/>
      <c r="D319" s="696"/>
    </row>
    <row r="320" spans="1:4">
      <c r="A320" s="692"/>
      <c r="B320" s="692"/>
      <c r="C320" s="696"/>
      <c r="D320" s="696"/>
    </row>
    <row r="321" spans="1:4">
      <c r="A321" s="692"/>
      <c r="B321" s="692"/>
      <c r="C321" s="696"/>
      <c r="D321" s="696"/>
    </row>
    <row r="322" spans="1:4">
      <c r="A322" s="692"/>
      <c r="B322" s="692"/>
      <c r="C322" s="696"/>
      <c r="D322" s="696"/>
    </row>
    <row r="323" spans="1:4">
      <c r="A323" s="692"/>
      <c r="B323" s="692"/>
      <c r="C323" s="696"/>
      <c r="D323" s="696"/>
    </row>
    <row r="324" spans="1:4">
      <c r="A324" s="692"/>
      <c r="B324" s="692"/>
      <c r="C324" s="696"/>
      <c r="D324" s="696"/>
    </row>
    <row r="325" spans="1:4">
      <c r="A325" s="692"/>
      <c r="B325" s="692"/>
      <c r="C325" s="696"/>
      <c r="D325" s="696"/>
    </row>
    <row r="326" spans="1:4">
      <c r="A326" s="692"/>
      <c r="B326" s="692"/>
      <c r="C326" s="696"/>
      <c r="D326" s="696"/>
    </row>
    <row r="327" spans="1:4">
      <c r="A327" s="692"/>
      <c r="B327" s="692"/>
      <c r="C327" s="696"/>
      <c r="D327" s="696"/>
    </row>
    <row r="328" spans="1:4">
      <c r="A328" s="692"/>
      <c r="B328" s="692"/>
      <c r="C328" s="696"/>
      <c r="D328" s="696"/>
    </row>
    <row r="329" spans="1:4">
      <c r="A329" s="692"/>
      <c r="B329" s="692"/>
      <c r="C329" s="696"/>
      <c r="D329" s="696"/>
    </row>
    <row r="330" spans="1:4">
      <c r="A330" s="692"/>
      <c r="B330" s="692"/>
      <c r="C330" s="696"/>
      <c r="D330" s="696"/>
    </row>
    <row r="331" spans="1:4">
      <c r="A331" s="692"/>
      <c r="B331" s="692"/>
      <c r="C331" s="696"/>
      <c r="D331" s="696"/>
    </row>
    <row r="332" spans="1:4">
      <c r="A332" s="692"/>
      <c r="B332" s="692"/>
      <c r="C332" s="696"/>
      <c r="D332" s="696"/>
    </row>
    <row r="333" spans="1:4">
      <c r="A333" s="692"/>
      <c r="B333" s="692"/>
      <c r="C333" s="696"/>
      <c r="D333" s="696"/>
    </row>
    <row r="334" spans="1:4">
      <c r="A334" s="692"/>
      <c r="B334" s="692"/>
      <c r="C334" s="696"/>
      <c r="D334" s="696"/>
    </row>
    <row r="335" spans="1:4">
      <c r="A335" s="692"/>
      <c r="B335" s="692"/>
      <c r="C335" s="696"/>
      <c r="D335" s="696"/>
    </row>
    <row r="336" spans="1:4">
      <c r="A336" s="692"/>
      <c r="B336" s="692"/>
      <c r="C336" s="696"/>
      <c r="D336" s="696"/>
    </row>
    <row r="337" spans="1:4">
      <c r="A337" s="692"/>
      <c r="B337" s="692"/>
      <c r="C337" s="696"/>
      <c r="D337" s="696"/>
    </row>
    <row r="338" spans="1:4">
      <c r="A338" s="692"/>
      <c r="B338" s="692"/>
      <c r="C338" s="696"/>
      <c r="D338" s="696"/>
    </row>
    <row r="339" spans="1:4">
      <c r="A339" s="692"/>
      <c r="B339" s="692"/>
      <c r="C339" s="696"/>
      <c r="D339" s="696"/>
    </row>
    <row r="340" spans="1:4">
      <c r="A340" s="692"/>
      <c r="B340" s="692"/>
      <c r="C340" s="696"/>
      <c r="D340" s="696"/>
    </row>
    <row r="341" spans="1:4">
      <c r="A341" s="692"/>
      <c r="B341" s="692"/>
      <c r="C341" s="696"/>
      <c r="D341" s="696"/>
    </row>
    <row r="342" spans="1:4">
      <c r="A342" s="692"/>
      <c r="B342" s="692"/>
      <c r="C342" s="696"/>
      <c r="D342" s="696"/>
    </row>
    <row r="343" spans="1:4">
      <c r="A343" s="692"/>
      <c r="B343" s="692"/>
      <c r="C343" s="696"/>
      <c r="D343" s="696"/>
    </row>
    <row r="344" spans="1:4">
      <c r="A344" s="692"/>
      <c r="B344" s="692"/>
      <c r="C344" s="696"/>
      <c r="D344" s="696"/>
    </row>
    <row r="345" spans="1:4">
      <c r="A345" s="692"/>
      <c r="B345" s="692"/>
      <c r="C345" s="696"/>
      <c r="D345" s="696"/>
    </row>
    <row r="346" spans="1:4">
      <c r="A346" s="692"/>
      <c r="B346" s="692"/>
      <c r="C346" s="696"/>
      <c r="D346" s="696"/>
    </row>
    <row r="347" spans="1:4">
      <c r="A347" s="692"/>
      <c r="B347" s="692"/>
      <c r="C347" s="696"/>
      <c r="D347" s="696"/>
    </row>
    <row r="348" spans="1:4">
      <c r="A348" s="692"/>
      <c r="B348" s="692"/>
      <c r="C348" s="696"/>
      <c r="D348" s="696"/>
    </row>
    <row r="349" spans="1:4">
      <c r="A349" s="692"/>
      <c r="B349" s="692"/>
      <c r="C349" s="696"/>
      <c r="D349" s="696"/>
    </row>
    <row r="350" spans="1:4">
      <c r="A350" s="692"/>
      <c r="B350" s="692"/>
      <c r="C350" s="696"/>
      <c r="D350" s="696"/>
    </row>
    <row r="351" spans="1:4">
      <c r="A351" s="692"/>
      <c r="B351" s="692"/>
      <c r="C351" s="696"/>
      <c r="D351" s="696"/>
    </row>
    <row r="352" spans="1:4">
      <c r="A352" s="692"/>
      <c r="B352" s="692"/>
      <c r="C352" s="696"/>
      <c r="D352" s="696"/>
    </row>
    <row r="353" spans="1:4">
      <c r="A353" s="692"/>
      <c r="B353" s="692"/>
      <c r="C353" s="696"/>
      <c r="D353" s="696"/>
    </row>
    <row r="354" spans="1:4">
      <c r="A354" s="692"/>
      <c r="B354" s="692"/>
      <c r="C354" s="696"/>
      <c r="D354" s="696"/>
    </row>
    <row r="355" spans="1:4">
      <c r="A355" s="692"/>
      <c r="B355" s="692"/>
      <c r="C355" s="696"/>
      <c r="D355" s="696"/>
    </row>
    <row r="356" spans="1:4">
      <c r="A356" s="692"/>
      <c r="B356" s="692"/>
      <c r="C356" s="696"/>
      <c r="D356" s="696"/>
    </row>
    <row r="357" spans="1:4">
      <c r="A357" s="692"/>
      <c r="B357" s="692"/>
      <c r="C357" s="696"/>
      <c r="D357" s="696"/>
    </row>
    <row r="358" spans="1:4">
      <c r="A358" s="692"/>
      <c r="B358" s="692"/>
      <c r="C358" s="696"/>
      <c r="D358" s="696"/>
    </row>
    <row r="359" spans="1:4">
      <c r="A359" s="692"/>
      <c r="B359" s="692"/>
      <c r="C359" s="696"/>
      <c r="D359" s="696"/>
    </row>
    <row r="360" spans="1:4">
      <c r="A360" s="692"/>
      <c r="B360" s="692"/>
      <c r="C360" s="696"/>
      <c r="D360" s="696"/>
    </row>
    <row r="361" spans="1:4">
      <c r="A361" s="692"/>
      <c r="B361" s="692"/>
      <c r="C361" s="696"/>
      <c r="D361" s="696"/>
    </row>
    <row r="362" spans="1:4">
      <c r="A362" s="692"/>
      <c r="B362" s="692"/>
      <c r="C362" s="696"/>
      <c r="D362" s="696"/>
    </row>
    <row r="363" spans="1:4">
      <c r="A363" s="692"/>
      <c r="B363" s="692"/>
      <c r="C363" s="696"/>
      <c r="D363" s="696"/>
    </row>
    <row r="364" spans="1:4">
      <c r="A364" s="692"/>
      <c r="B364" s="692"/>
      <c r="C364" s="696"/>
      <c r="D364" s="696"/>
    </row>
    <row r="365" spans="1:4">
      <c r="A365" s="692"/>
      <c r="B365" s="692"/>
      <c r="C365" s="696"/>
      <c r="D365" s="696"/>
    </row>
    <row r="366" spans="1:4">
      <c r="A366" s="692"/>
      <c r="B366" s="692"/>
      <c r="C366" s="696"/>
      <c r="D366" s="696"/>
    </row>
    <row r="367" spans="1:4">
      <c r="A367" s="692"/>
      <c r="B367" s="692"/>
      <c r="C367" s="696"/>
      <c r="D367" s="696"/>
    </row>
    <row r="368" spans="1:4">
      <c r="A368" s="692"/>
      <c r="B368" s="692"/>
      <c r="C368" s="696"/>
      <c r="D368" s="696"/>
    </row>
    <row r="369" spans="1:4">
      <c r="A369" s="692"/>
      <c r="B369" s="692"/>
      <c r="C369" s="696"/>
      <c r="D369" s="696"/>
    </row>
    <row r="370" spans="1:4">
      <c r="A370" s="692"/>
      <c r="B370" s="692"/>
      <c r="C370" s="696"/>
      <c r="D370" s="696"/>
    </row>
    <row r="371" spans="1:4">
      <c r="A371" s="692"/>
      <c r="B371" s="692"/>
      <c r="C371" s="696"/>
      <c r="D371" s="696"/>
    </row>
    <row r="372" spans="1:4">
      <c r="A372" s="692"/>
      <c r="B372" s="692"/>
      <c r="C372" s="696"/>
      <c r="D372" s="696"/>
    </row>
    <row r="373" spans="1:4">
      <c r="A373" s="692"/>
      <c r="B373" s="692"/>
      <c r="C373" s="696"/>
      <c r="D373" s="696"/>
    </row>
    <row r="374" spans="1:4">
      <c r="A374" s="692"/>
      <c r="B374" s="692"/>
      <c r="C374" s="696"/>
      <c r="D374" s="696"/>
    </row>
    <row r="375" spans="1:4">
      <c r="A375" s="692"/>
      <c r="B375" s="692"/>
      <c r="C375" s="696"/>
      <c r="D375" s="696"/>
    </row>
    <row r="376" spans="1:4">
      <c r="A376" s="692"/>
      <c r="B376" s="692"/>
      <c r="C376" s="696"/>
      <c r="D376" s="696"/>
    </row>
    <row r="377" spans="1:4">
      <c r="A377" s="692"/>
      <c r="B377" s="692"/>
      <c r="C377" s="696"/>
      <c r="D377" s="696"/>
    </row>
    <row r="378" spans="1:4">
      <c r="A378" s="692"/>
      <c r="B378" s="692"/>
      <c r="C378" s="696"/>
      <c r="D378" s="696"/>
    </row>
    <row r="379" spans="1:4">
      <c r="A379" s="692"/>
      <c r="B379" s="692"/>
      <c r="C379" s="696"/>
      <c r="D379" s="696"/>
    </row>
    <row r="380" spans="1:4">
      <c r="A380" s="692"/>
      <c r="B380" s="692"/>
      <c r="C380" s="696"/>
      <c r="D380" s="696"/>
    </row>
    <row r="381" spans="1:4">
      <c r="A381" s="692"/>
      <c r="B381" s="692"/>
      <c r="C381" s="696"/>
      <c r="D381" s="696"/>
    </row>
    <row r="382" spans="1:4">
      <c r="A382" s="692"/>
      <c r="B382" s="692"/>
      <c r="C382" s="696"/>
      <c r="D382" s="696"/>
    </row>
    <row r="383" spans="1:4">
      <c r="A383" s="692"/>
      <c r="B383" s="692"/>
      <c r="C383" s="696"/>
      <c r="D383" s="696"/>
    </row>
    <row r="384" spans="1:4">
      <c r="A384" s="692"/>
      <c r="B384" s="692"/>
      <c r="C384" s="696"/>
      <c r="D384" s="696"/>
    </row>
    <row r="385" spans="1:4">
      <c r="A385" s="692"/>
      <c r="B385" s="692"/>
      <c r="C385" s="696"/>
      <c r="D385" s="696"/>
    </row>
    <row r="386" spans="1:4">
      <c r="A386" s="692"/>
      <c r="B386" s="692"/>
      <c r="C386" s="696"/>
      <c r="D386" s="696"/>
    </row>
    <row r="387" spans="1:4">
      <c r="A387" s="692"/>
      <c r="B387" s="692"/>
      <c r="C387" s="696"/>
      <c r="D387" s="696"/>
    </row>
    <row r="388" spans="1:4">
      <c r="A388" s="692"/>
      <c r="B388" s="692"/>
      <c r="C388" s="696"/>
      <c r="D388" s="696"/>
    </row>
    <row r="389" spans="1:4">
      <c r="A389" s="692"/>
      <c r="B389" s="692"/>
      <c r="C389" s="696"/>
      <c r="D389" s="696"/>
    </row>
    <row r="390" spans="1:4">
      <c r="A390" s="692"/>
      <c r="B390" s="692"/>
      <c r="C390" s="696"/>
      <c r="D390" s="696"/>
    </row>
    <row r="391" spans="1:4">
      <c r="A391" s="692"/>
      <c r="B391" s="692"/>
      <c r="C391" s="696"/>
      <c r="D391" s="696"/>
    </row>
    <row r="392" spans="1:4">
      <c r="A392" s="692"/>
      <c r="B392" s="692"/>
      <c r="C392" s="696"/>
      <c r="D392" s="696"/>
    </row>
    <row r="393" spans="1:4">
      <c r="A393" s="692"/>
      <c r="B393" s="692"/>
      <c r="C393" s="696"/>
      <c r="D393" s="696"/>
    </row>
    <row r="394" spans="1:4">
      <c r="A394" s="692"/>
      <c r="B394" s="692"/>
      <c r="C394" s="696"/>
      <c r="D394" s="696"/>
    </row>
    <row r="395" spans="1:4">
      <c r="A395" s="692"/>
      <c r="B395" s="692"/>
      <c r="C395" s="696"/>
      <c r="D395" s="696"/>
    </row>
    <row r="396" spans="1:4">
      <c r="A396" s="692"/>
      <c r="B396" s="692"/>
      <c r="C396" s="696"/>
      <c r="D396" s="696"/>
    </row>
    <row r="397" spans="1:4">
      <c r="A397" s="692"/>
      <c r="B397" s="692"/>
      <c r="C397" s="696"/>
      <c r="D397" s="696"/>
    </row>
  </sheetData>
  <mergeCells count="2">
    <mergeCell ref="A1:D1"/>
    <mergeCell ref="A2:D2"/>
  </mergeCells>
  <printOptions horizontalCentered="1"/>
  <pageMargins left="0.7" right="0.7" top="0.75" bottom="0.75" header="0.3" footer="0.3"/>
  <pageSetup paperSize="9" scale="80" fitToHeight="0" orientation="landscape" r:id="rId1"/>
  <headerFooter>
    <oddFooter>&amp;L&amp;"-,Negrito"&amp;K0000FFA: ADEQUADO                                                          I: INADEQUADO                                                 PA: PARCIALMENTE ADEQUADO                                                           NSA: NÃO SE APLICA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C1C4F-07EE-451F-95A7-B7F9ADB744CF}">
  <sheetPr>
    <tabColor rgb="FF002060"/>
    <pageSetUpPr fitToPage="1"/>
  </sheetPr>
  <dimension ref="A1:F41"/>
  <sheetViews>
    <sheetView view="pageBreakPreview" topLeftCell="A37" zoomScale="70" zoomScaleNormal="100" zoomScaleSheetLayoutView="70" workbookViewId="0">
      <selection activeCell="E6" sqref="E6"/>
    </sheetView>
  </sheetViews>
  <sheetFormatPr defaultColWidth="9.140625" defaultRowHeight="12.75"/>
  <cols>
    <col min="1" max="1" width="50.85546875" style="342" customWidth="1"/>
    <col min="2" max="2" width="12.7109375" style="342" bestFit="1" customWidth="1"/>
    <col min="3" max="3" width="56.140625" style="342" customWidth="1"/>
    <col min="4" max="4" width="60.42578125" style="342" customWidth="1"/>
    <col min="5" max="16384" width="9.140625" style="342"/>
  </cols>
  <sheetData>
    <row r="1" spans="1:6" ht="15.75">
      <c r="A1" s="2589" t="s">
        <v>759</v>
      </c>
      <c r="B1" s="2590"/>
      <c r="C1" s="2590"/>
      <c r="D1" s="2591"/>
    </row>
    <row r="2" spans="1:6">
      <c r="A2" s="2592"/>
      <c r="B2" s="2592"/>
      <c r="C2" s="2592"/>
      <c r="D2" s="2592"/>
      <c r="F2" s="1255"/>
    </row>
    <row r="3" spans="1:6">
      <c r="A3" s="1315" t="s">
        <v>329</v>
      </c>
      <c r="B3" s="1315" t="s">
        <v>330</v>
      </c>
      <c r="C3" s="1315" t="s">
        <v>331</v>
      </c>
      <c r="D3" s="1315" t="s">
        <v>332</v>
      </c>
    </row>
    <row r="4" spans="1:6" ht="76.5">
      <c r="A4" s="928" t="s">
        <v>920</v>
      </c>
      <c r="B4" s="916" t="s">
        <v>333</v>
      </c>
      <c r="C4" s="928" t="s">
        <v>898</v>
      </c>
      <c r="D4" s="928" t="s">
        <v>978</v>
      </c>
    </row>
    <row r="5" spans="1:6" ht="89.25">
      <c r="A5" s="928" t="s">
        <v>760</v>
      </c>
      <c r="B5" s="916" t="s">
        <v>333</v>
      </c>
      <c r="C5" s="928" t="s">
        <v>761</v>
      </c>
      <c r="D5" s="928" t="s">
        <v>979</v>
      </c>
    </row>
    <row r="6" spans="1:6" ht="236.25" customHeight="1">
      <c r="A6" s="928" t="s">
        <v>762</v>
      </c>
      <c r="B6" s="916" t="s">
        <v>333</v>
      </c>
      <c r="C6" s="928" t="s">
        <v>980</v>
      </c>
      <c r="D6" s="928" t="s">
        <v>981</v>
      </c>
    </row>
    <row r="7" spans="1:6" ht="76.5">
      <c r="A7" s="1253" t="s">
        <v>763</v>
      </c>
      <c r="B7" s="1251" t="s">
        <v>333</v>
      </c>
      <c r="C7" s="1252" t="s">
        <v>899</v>
      </c>
      <c r="D7" s="1253" t="s">
        <v>757</v>
      </c>
    </row>
    <row r="8" spans="1:6" ht="102">
      <c r="A8" s="928" t="s">
        <v>982</v>
      </c>
      <c r="B8" s="916" t="s">
        <v>333</v>
      </c>
      <c r="C8" s="928" t="s">
        <v>983</v>
      </c>
      <c r="D8" s="928" t="s">
        <v>900</v>
      </c>
    </row>
    <row r="9" spans="1:6" ht="25.5">
      <c r="A9" s="928" t="s">
        <v>337</v>
      </c>
      <c r="B9" s="916" t="s">
        <v>335</v>
      </c>
      <c r="C9" s="930" t="s">
        <v>588</v>
      </c>
      <c r="D9" s="929" t="s">
        <v>336</v>
      </c>
    </row>
    <row r="10" spans="1:6" ht="25.5">
      <c r="A10" s="928" t="s">
        <v>587</v>
      </c>
      <c r="B10" s="916" t="s">
        <v>335</v>
      </c>
      <c r="C10" s="930" t="s">
        <v>588</v>
      </c>
      <c r="D10" s="929" t="s">
        <v>336</v>
      </c>
    </row>
    <row r="11" spans="1:6" ht="114.75">
      <c r="A11" s="928" t="s">
        <v>339</v>
      </c>
      <c r="B11" s="916" t="s">
        <v>333</v>
      </c>
      <c r="C11" s="928" t="s">
        <v>984</v>
      </c>
      <c r="D11" s="928" t="s">
        <v>985</v>
      </c>
    </row>
    <row r="12" spans="1:6" ht="76.5">
      <c r="A12" s="928" t="s">
        <v>340</v>
      </c>
      <c r="B12" s="916" t="s">
        <v>333</v>
      </c>
      <c r="C12" s="928" t="s">
        <v>986</v>
      </c>
      <c r="D12" s="928" t="s">
        <v>620</v>
      </c>
    </row>
    <row r="13" spans="1:6" ht="63.75">
      <c r="A13" s="928" t="s">
        <v>341</v>
      </c>
      <c r="B13" s="916" t="s">
        <v>333</v>
      </c>
      <c r="C13" s="928" t="s">
        <v>598</v>
      </c>
      <c r="D13" s="1253" t="s">
        <v>602</v>
      </c>
    </row>
    <row r="14" spans="1:6" ht="25.5">
      <c r="A14" s="928" t="s">
        <v>342</v>
      </c>
      <c r="B14" s="916" t="s">
        <v>335</v>
      </c>
      <c r="C14" s="930" t="s">
        <v>588</v>
      </c>
      <c r="D14" s="930" t="s">
        <v>764</v>
      </c>
    </row>
    <row r="15" spans="1:6" ht="204">
      <c r="A15" s="928" t="s">
        <v>535</v>
      </c>
      <c r="B15" s="916" t="s">
        <v>333</v>
      </c>
      <c r="C15" s="928" t="s">
        <v>987</v>
      </c>
      <c r="D15" s="928" t="s">
        <v>988</v>
      </c>
    </row>
    <row r="16" spans="1:6" ht="140.25">
      <c r="A16" s="1080" t="s">
        <v>343</v>
      </c>
      <c r="B16" s="916" t="s">
        <v>333</v>
      </c>
      <c r="C16" s="928" t="s">
        <v>901</v>
      </c>
      <c r="D16" s="928" t="s">
        <v>597</v>
      </c>
    </row>
    <row r="17" spans="1:4" ht="102">
      <c r="A17" s="928" t="s">
        <v>596</v>
      </c>
      <c r="B17" s="916" t="s">
        <v>333</v>
      </c>
      <c r="C17" s="928" t="s">
        <v>536</v>
      </c>
      <c r="D17" s="928" t="s">
        <v>614</v>
      </c>
    </row>
    <row r="18" spans="1:4" ht="63.75">
      <c r="A18" s="1253" t="s">
        <v>765</v>
      </c>
      <c r="B18" s="1251" t="s">
        <v>333</v>
      </c>
      <c r="C18" s="1253" t="s">
        <v>595</v>
      </c>
      <c r="D18" s="928" t="s">
        <v>902</v>
      </c>
    </row>
    <row r="19" spans="1:4" ht="38.25">
      <c r="A19" s="1253" t="s">
        <v>344</v>
      </c>
      <c r="B19" s="1251" t="s">
        <v>333</v>
      </c>
      <c r="C19" s="1253" t="s">
        <v>537</v>
      </c>
      <c r="D19" s="928" t="s">
        <v>903</v>
      </c>
    </row>
    <row r="20" spans="1:4" ht="63.75">
      <c r="A20" s="1253" t="s">
        <v>345</v>
      </c>
      <c r="B20" s="916" t="s">
        <v>333</v>
      </c>
      <c r="C20" s="928" t="s">
        <v>538</v>
      </c>
      <c r="D20" s="928" t="s">
        <v>539</v>
      </c>
    </row>
    <row r="21" spans="1:4" ht="51">
      <c r="A21" s="928" t="s">
        <v>346</v>
      </c>
      <c r="B21" s="916" t="s">
        <v>333</v>
      </c>
      <c r="C21" s="928" t="s">
        <v>601</v>
      </c>
      <c r="D21" s="928" t="s">
        <v>989</v>
      </c>
    </row>
    <row r="22" spans="1:4" ht="51">
      <c r="A22" s="928" t="s">
        <v>347</v>
      </c>
      <c r="B22" s="916" t="s">
        <v>333</v>
      </c>
      <c r="C22" s="928" t="s">
        <v>766</v>
      </c>
      <c r="D22" s="928" t="s">
        <v>608</v>
      </c>
    </row>
    <row r="23" spans="1:4" ht="38.25">
      <c r="A23" s="928" t="s">
        <v>348</v>
      </c>
      <c r="B23" s="916" t="s">
        <v>335</v>
      </c>
      <c r="C23" s="929" t="s">
        <v>338</v>
      </c>
      <c r="D23" s="929" t="s">
        <v>336</v>
      </c>
    </row>
    <row r="24" spans="1:4" ht="51">
      <c r="A24" s="928" t="s">
        <v>767</v>
      </c>
      <c r="B24" s="916" t="s">
        <v>333</v>
      </c>
      <c r="C24" s="928" t="s">
        <v>609</v>
      </c>
      <c r="D24" s="928" t="s">
        <v>610</v>
      </c>
    </row>
    <row r="25" spans="1:4" ht="38.25">
      <c r="A25" s="928" t="s">
        <v>349</v>
      </c>
      <c r="B25" s="916" t="s">
        <v>335</v>
      </c>
      <c r="C25" s="929" t="s">
        <v>338</v>
      </c>
      <c r="D25" s="929" t="s">
        <v>336</v>
      </c>
    </row>
    <row r="26" spans="1:4" ht="51">
      <c r="A26" s="928" t="s">
        <v>350</v>
      </c>
      <c r="B26" s="916" t="s">
        <v>333</v>
      </c>
      <c r="C26" s="928" t="s">
        <v>990</v>
      </c>
      <c r="D26" s="928" t="s">
        <v>540</v>
      </c>
    </row>
    <row r="27" spans="1:4" ht="25.5">
      <c r="A27" s="928" t="s">
        <v>351</v>
      </c>
      <c r="B27" s="916" t="s">
        <v>335</v>
      </c>
      <c r="C27" s="929" t="s">
        <v>338</v>
      </c>
      <c r="D27" s="929" t="s">
        <v>336</v>
      </c>
    </row>
    <row r="28" spans="1:4" ht="38.25">
      <c r="A28" s="928" t="s">
        <v>352</v>
      </c>
      <c r="B28" s="916" t="s">
        <v>335</v>
      </c>
      <c r="C28" s="929" t="s">
        <v>338</v>
      </c>
      <c r="D28" s="929" t="s">
        <v>336</v>
      </c>
    </row>
    <row r="29" spans="1:4" ht="191.25">
      <c r="A29" s="928" t="s">
        <v>353</v>
      </c>
      <c r="B29" s="916" t="s">
        <v>333</v>
      </c>
      <c r="C29" s="928" t="s">
        <v>991</v>
      </c>
      <c r="D29" s="1110" t="s">
        <v>992</v>
      </c>
    </row>
    <row r="30" spans="1:4" ht="38.25">
      <c r="A30" s="928" t="s">
        <v>354</v>
      </c>
      <c r="B30" s="916" t="s">
        <v>333</v>
      </c>
      <c r="C30" s="928" t="s">
        <v>594</v>
      </c>
      <c r="D30" s="928" t="s">
        <v>992</v>
      </c>
    </row>
    <row r="31" spans="1:4" ht="51">
      <c r="A31" s="928" t="s">
        <v>355</v>
      </c>
      <c r="B31" s="916" t="s">
        <v>333</v>
      </c>
      <c r="C31" s="928" t="s">
        <v>904</v>
      </c>
      <c r="D31" s="928" t="s">
        <v>993</v>
      </c>
    </row>
    <row r="32" spans="1:4" ht="127.5">
      <c r="A32" s="928" t="s">
        <v>356</v>
      </c>
      <c r="B32" s="916" t="s">
        <v>333</v>
      </c>
      <c r="C32" s="928" t="s">
        <v>768</v>
      </c>
      <c r="D32" s="928" t="s">
        <v>994</v>
      </c>
    </row>
    <row r="33" spans="1:4" ht="76.5">
      <c r="A33" s="928" t="s">
        <v>357</v>
      </c>
      <c r="B33" s="916" t="s">
        <v>335</v>
      </c>
      <c r="C33" s="929" t="s">
        <v>338</v>
      </c>
      <c r="D33" s="929" t="s">
        <v>336</v>
      </c>
    </row>
    <row r="34" spans="1:4" ht="63.75">
      <c r="A34" s="928" t="s">
        <v>358</v>
      </c>
      <c r="B34" s="916" t="s">
        <v>335</v>
      </c>
      <c r="C34" s="929" t="s">
        <v>338</v>
      </c>
      <c r="D34" s="929" t="s">
        <v>336</v>
      </c>
    </row>
    <row r="35" spans="1:4" ht="76.5">
      <c r="A35" s="928" t="s">
        <v>905</v>
      </c>
      <c r="B35" s="916" t="s">
        <v>333</v>
      </c>
      <c r="C35" s="928" t="s">
        <v>611</v>
      </c>
      <c r="D35" s="928" t="s">
        <v>612</v>
      </c>
    </row>
    <row r="36" spans="1:4" ht="25.5">
      <c r="A36" s="928" t="s">
        <v>359</v>
      </c>
      <c r="B36" s="916" t="s">
        <v>335</v>
      </c>
      <c r="C36" s="929" t="s">
        <v>338</v>
      </c>
      <c r="D36" s="929" t="s">
        <v>336</v>
      </c>
    </row>
    <row r="37" spans="1:4" ht="51">
      <c r="A37" s="928" t="s">
        <v>593</v>
      </c>
      <c r="B37" s="916" t="s">
        <v>333</v>
      </c>
      <c r="C37" s="928" t="s">
        <v>615</v>
      </c>
      <c r="D37" s="928" t="s">
        <v>995</v>
      </c>
    </row>
    <row r="38" spans="1:4">
      <c r="A38" s="928" t="s">
        <v>360</v>
      </c>
      <c r="B38" s="916" t="s">
        <v>335</v>
      </c>
      <c r="C38" s="929" t="s">
        <v>338</v>
      </c>
      <c r="D38" s="929" t="s">
        <v>336</v>
      </c>
    </row>
    <row r="39" spans="1:4" ht="154.5" customHeight="1">
      <c r="A39" s="1460" t="s">
        <v>361</v>
      </c>
      <c r="B39" s="916" t="s">
        <v>333</v>
      </c>
      <c r="C39" s="931" t="s">
        <v>921</v>
      </c>
      <c r="D39" s="931" t="s">
        <v>996</v>
      </c>
    </row>
    <row r="40" spans="1:4">
      <c r="A40" s="2593" t="s">
        <v>362</v>
      </c>
      <c r="B40" s="2594"/>
      <c r="C40" s="2594"/>
      <c r="D40" s="2595"/>
    </row>
    <row r="41" spans="1:4" ht="261.75" customHeight="1">
      <c r="A41" s="2596" t="s">
        <v>922</v>
      </c>
      <c r="B41" s="2597"/>
      <c r="C41" s="2597"/>
      <c r="D41" s="2598"/>
    </row>
  </sheetData>
  <mergeCells count="4">
    <mergeCell ref="A1:D1"/>
    <mergeCell ref="A2:D2"/>
    <mergeCell ref="A40:D40"/>
    <mergeCell ref="A41:D41"/>
  </mergeCells>
  <pageMargins left="0.51181102362204722" right="0.51181102362204722" top="0.78740157480314965" bottom="0.78740157480314965" header="0.31496062992125984" footer="0.31496062992125984"/>
  <pageSetup paperSize="9" scale="76" fitToHeight="0" orientation="landscape" r:id="rId1"/>
  <headerFooter>
    <oddFooter>&amp;L&amp;"-,Negrito"&amp;K0000FFA: ADEQUADO                                                          I: INADEQUADO                                                 PA: PARCIALMENTE ADEQUADO                                                           NSA: NÃO SE APLICA</oddFooter>
  </headerFooter>
  <rowBreaks count="1" manualBreakCount="1">
    <brk id="39"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41</vt:i4>
      </vt:variant>
      <vt:variant>
        <vt:lpstr>Intervalos Nomeados</vt:lpstr>
      </vt:variant>
      <vt:variant>
        <vt:i4>50</vt:i4>
      </vt:variant>
    </vt:vector>
  </HeadingPairs>
  <TitlesOfParts>
    <vt:vector size="91" baseType="lpstr">
      <vt:lpstr>00</vt:lpstr>
      <vt:lpstr>9.1 - CRONOGRAMA</vt:lpstr>
      <vt:lpstr>9.2 - CURVA</vt:lpstr>
      <vt:lpstr>10 - EVOLUÇÃO FINANCEIRA</vt:lpstr>
      <vt:lpstr>11 - RESUMO</vt:lpstr>
      <vt:lpstr>12 - FINANCEIRA</vt:lpstr>
      <vt:lpstr>13 - MEMÓRIA</vt:lpstr>
      <vt:lpstr>15.2 - VERIFICAÇÃO AMBIENTAL</vt:lpstr>
      <vt:lpstr>15.1 VERIFICAÇÃO MT</vt:lpstr>
      <vt:lpstr>15.1.1 CHECKLIST ROTINAS</vt:lpstr>
      <vt:lpstr>15.2 - VERIFICAÇÃO AMBIENTAL 2</vt:lpstr>
      <vt:lpstr>15.3-REL. FOTOGRAFICO</vt:lpstr>
      <vt:lpstr>16 - INSPEÇÕES</vt:lpstr>
      <vt:lpstr>18 - CHECKLIST 1</vt:lpstr>
      <vt:lpstr>18 - CHECKLIST 2</vt:lpstr>
      <vt:lpstr>Reaterro</vt:lpstr>
      <vt:lpstr>1.4</vt:lpstr>
      <vt:lpstr>3.4</vt:lpstr>
      <vt:lpstr>5.3</vt:lpstr>
      <vt:lpstr>5.5</vt:lpstr>
      <vt:lpstr>5.6</vt:lpstr>
      <vt:lpstr>5.9</vt:lpstr>
      <vt:lpstr>5.12</vt:lpstr>
      <vt:lpstr>6.4.6</vt:lpstr>
      <vt:lpstr>7.1</vt:lpstr>
      <vt:lpstr>7.2</vt:lpstr>
      <vt:lpstr>7.6</vt:lpstr>
      <vt:lpstr>7.7</vt:lpstr>
      <vt:lpstr>7.8</vt:lpstr>
      <vt:lpstr>7.9</vt:lpstr>
      <vt:lpstr>7.10</vt:lpstr>
      <vt:lpstr>7.13</vt:lpstr>
      <vt:lpstr>7.28</vt:lpstr>
      <vt:lpstr>9.1</vt:lpstr>
      <vt:lpstr>9.2</vt:lpstr>
      <vt:lpstr>9.3</vt:lpstr>
      <vt:lpstr>9.4</vt:lpstr>
      <vt:lpstr>9.5</vt:lpstr>
      <vt:lpstr>9.14</vt:lpstr>
      <vt:lpstr>10.1</vt:lpstr>
      <vt:lpstr>10.2</vt:lpstr>
      <vt:lpstr>'00'!Area_de_impressao</vt:lpstr>
      <vt:lpstr>'1.4'!Area_de_impressao</vt:lpstr>
      <vt:lpstr>'10 - EVOLUÇÃO FINANCEIRA'!Area_de_impressao</vt:lpstr>
      <vt:lpstr>'10.1'!Area_de_impressao</vt:lpstr>
      <vt:lpstr>'10.2'!Area_de_impressao</vt:lpstr>
      <vt:lpstr>'11 - RESUMO'!Area_de_impressao</vt:lpstr>
      <vt:lpstr>'12 - FINANCEIRA'!Area_de_impressao</vt:lpstr>
      <vt:lpstr>'13 - MEMÓRIA'!Area_de_impressao</vt:lpstr>
      <vt:lpstr>'15.1.1 CHECKLIST ROTINAS'!Area_de_impressao</vt:lpstr>
      <vt:lpstr>'15.2 - VERIFICAÇÃO AMBIENTAL'!Area_de_impressao</vt:lpstr>
      <vt:lpstr>'15.2 - VERIFICAÇÃO AMBIENTAL 2'!Area_de_impressao</vt:lpstr>
      <vt:lpstr>'15.2 - VERIFICAÇÃO AMBIENTAL 2'!Area_de_impressao</vt:lpstr>
      <vt:lpstr>'15.3-REL. FOTOGRAFICO'!Area_de_impressao</vt:lpstr>
      <vt:lpstr>'16 - INSPEÇÕES'!Area_de_impressao</vt:lpstr>
      <vt:lpstr>'18 - CHECKLIST 1'!Area_de_impressao</vt:lpstr>
      <vt:lpstr>'18 - CHECKLIST 2'!Area_de_impressao</vt:lpstr>
      <vt:lpstr>'3.4'!Area_de_impressao</vt:lpstr>
      <vt:lpstr>'5.12'!Area_de_impressao</vt:lpstr>
      <vt:lpstr>'5.3'!Area_de_impressao</vt:lpstr>
      <vt:lpstr>'5.5'!Area_de_impressao</vt:lpstr>
      <vt:lpstr>'5.6'!Area_de_impressao</vt:lpstr>
      <vt:lpstr>'5.9'!Area_de_impressao</vt:lpstr>
      <vt:lpstr>'6.4.6'!Area_de_impressao</vt:lpstr>
      <vt:lpstr>'7.1'!Area_de_impressao</vt:lpstr>
      <vt:lpstr>'7.10'!Area_de_impressao</vt:lpstr>
      <vt:lpstr>'7.13'!Area_de_impressao</vt:lpstr>
      <vt:lpstr>'7.2'!Area_de_impressao</vt:lpstr>
      <vt:lpstr>'7.28'!Area_de_impressao</vt:lpstr>
      <vt:lpstr>'7.6'!Area_de_impressao</vt:lpstr>
      <vt:lpstr>'7.7'!Area_de_impressao</vt:lpstr>
      <vt:lpstr>'7.8'!Area_de_impressao</vt:lpstr>
      <vt:lpstr>'7.9'!Area_de_impressao</vt:lpstr>
      <vt:lpstr>'9.1'!Area_de_impressao</vt:lpstr>
      <vt:lpstr>'9.1 - CRONOGRAMA'!Area_de_impressao</vt:lpstr>
      <vt:lpstr>'9.14'!Area_de_impressao</vt:lpstr>
      <vt:lpstr>'9.2'!Area_de_impressao</vt:lpstr>
      <vt:lpstr>'9.2 - CURVA'!Area_de_impressao</vt:lpstr>
      <vt:lpstr>'9.3'!Area_de_impressao</vt:lpstr>
      <vt:lpstr>'9.4'!Area_de_impressao</vt:lpstr>
      <vt:lpstr>'9.5'!Area_de_impressao</vt:lpstr>
      <vt:lpstr>Reaterro!Area_de_impressao</vt:lpstr>
      <vt:lpstr>'1.4'!Titulos_de_impressao</vt:lpstr>
      <vt:lpstr>'10 - EVOLUÇÃO FINANCEIRA'!Titulos_de_impressao</vt:lpstr>
      <vt:lpstr>'11 - RESUMO'!Titulos_de_impressao</vt:lpstr>
      <vt:lpstr>'12 - FINANCEIRA'!Titulos_de_impressao</vt:lpstr>
      <vt:lpstr>'13 - MEMÓRIA'!Titulos_de_impressao</vt:lpstr>
      <vt:lpstr>'15.1 VERIFICAÇÃO MT'!Titulos_de_impressao</vt:lpstr>
      <vt:lpstr>'15.2 - VERIFICAÇÃO AMBIENTAL'!Titulos_de_impressao</vt:lpstr>
      <vt:lpstr>'15.2 - VERIFICAÇÃO AMBIENTAL 2'!Titulos_de_impressao</vt:lpstr>
      <vt:lpstr>'9.1 - CRONOGRAMA'!Titulos_de_impressao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Bruno Orione Binda Pasquali</dc:creator>
  <cp:lastModifiedBy>SARAH MARTA SARMENTO OLIVEIRA</cp:lastModifiedBy>
  <cp:lastPrinted>2023-08-28T18:58:16Z</cp:lastPrinted>
  <dcterms:created xsi:type="dcterms:W3CDTF">2019-10-22T16:50:36Z</dcterms:created>
  <dcterms:modified xsi:type="dcterms:W3CDTF">2023-08-28T20:09:37Z</dcterms:modified>
</cp:coreProperties>
</file>